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ak.Karapetyan\Desktop\եռամսյակ\havelvac karav\"/>
    </mc:Choice>
  </mc:AlternateContent>
  <xr:revisionPtr revIDLastSave="0" documentId="13_ncr:1_{40A5A255-28C1-435C-8D9C-C2D94728874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3.1" sheetId="13" r:id="rId1"/>
    <sheet name="13.2" sheetId="1" r:id="rId2"/>
    <sheet name="13.3" sheetId="12" r:id="rId3"/>
  </sheets>
  <definedNames>
    <definedName name="_xlnm._FilterDatabase" localSheetId="1" hidden="1">'13.2'!$A$1:$D$421</definedName>
    <definedName name="_xlnm.Print_Area" localSheetId="1">'13.2'!$A$1:$D$421</definedName>
    <definedName name="_xlnm.Print_Area" localSheetId="2">'13.3'!$A$1:$H$35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2" l="1"/>
  <c r="F68" i="12"/>
  <c r="D119" i="12"/>
  <c r="B14" i="13" l="1"/>
  <c r="B11" i="13" s="1"/>
  <c r="B10" i="13" s="1"/>
  <c r="B8" i="13" s="1"/>
  <c r="D335" i="12" l="1"/>
  <c r="H333" i="12"/>
  <c r="G333" i="12"/>
  <c r="F333" i="12"/>
  <c r="E333" i="12"/>
  <c r="F13" i="12"/>
  <c r="F12" i="12" s="1"/>
  <c r="F10" i="12" s="1"/>
  <c r="D333" i="12" l="1"/>
  <c r="H10" i="12"/>
  <c r="G12" i="12"/>
  <c r="G10" i="12" s="1"/>
  <c r="D102" i="1" l="1"/>
  <c r="H332" i="12"/>
  <c r="H330" i="12" s="1"/>
  <c r="D331" i="12"/>
  <c r="G330" i="12"/>
  <c r="F330" i="12"/>
  <c r="E330" i="12"/>
  <c r="D329" i="12"/>
  <c r="H328" i="12"/>
  <c r="D328" i="12" s="1"/>
  <c r="H327" i="12"/>
  <c r="D327" i="12" s="1"/>
  <c r="H326" i="12"/>
  <c r="D326" i="12" s="1"/>
  <c r="H325" i="12"/>
  <c r="D325" i="12" s="1"/>
  <c r="G324" i="12"/>
  <c r="F324" i="12"/>
  <c r="E324" i="12"/>
  <c r="H323" i="12"/>
  <c r="D323" i="12" s="1"/>
  <c r="H322" i="12"/>
  <c r="D322" i="12" s="1"/>
  <c r="H321" i="12"/>
  <c r="D321" i="12" s="1"/>
  <c r="G320" i="12"/>
  <c r="F320" i="12"/>
  <c r="E320" i="12"/>
  <c r="H319" i="12"/>
  <c r="D319" i="12" s="1"/>
  <c r="H318" i="12"/>
  <c r="D318" i="12" s="1"/>
  <c r="H317" i="12"/>
  <c r="D317" i="12" s="1"/>
  <c r="H316" i="12"/>
  <c r="D316" i="12" s="1"/>
  <c r="H315" i="12"/>
  <c r="D315" i="12" s="1"/>
  <c r="G314" i="12"/>
  <c r="F314" i="12"/>
  <c r="E314" i="12"/>
  <c r="H313" i="12"/>
  <c r="D313" i="12" s="1"/>
  <c r="H312" i="12"/>
  <c r="D312" i="12" s="1"/>
  <c r="G311" i="12"/>
  <c r="F311" i="12"/>
  <c r="E311" i="12"/>
  <c r="D310" i="12"/>
  <c r="D309" i="12"/>
  <c r="D308" i="12"/>
  <c r="D307" i="12"/>
  <c r="D306" i="12"/>
  <c r="D305" i="12"/>
  <c r="D304" i="12"/>
  <c r="H303" i="12"/>
  <c r="D303" i="12" s="1"/>
  <c r="H302" i="12"/>
  <c r="D302" i="12" s="1"/>
  <c r="H301" i="12"/>
  <c r="G300" i="12"/>
  <c r="F300" i="12"/>
  <c r="E300" i="12"/>
  <c r="D299" i="12"/>
  <c r="D298" i="12"/>
  <c r="D297" i="12"/>
  <c r="H296" i="12"/>
  <c r="D296" i="12" s="1"/>
  <c r="H295" i="12"/>
  <c r="D295" i="12" s="1"/>
  <c r="G294" i="12"/>
  <c r="F294" i="12"/>
  <c r="E294" i="12"/>
  <c r="D293" i="12"/>
  <c r="D292" i="12"/>
  <c r="D291" i="12"/>
  <c r="D290" i="12"/>
  <c r="D289" i="12"/>
  <c r="D288" i="12"/>
  <c r="D287" i="12"/>
  <c r="D286" i="12"/>
  <c r="D285" i="12"/>
  <c r="H284" i="12"/>
  <c r="D284" i="12" s="1"/>
  <c r="H283" i="12"/>
  <c r="D283" i="12" s="1"/>
  <c r="G282" i="12"/>
  <c r="F282" i="12"/>
  <c r="E282" i="12"/>
  <c r="H281" i="12"/>
  <c r="D281" i="12" s="1"/>
  <c r="H280" i="12"/>
  <c r="D280" i="12" s="1"/>
  <c r="G279" i="12"/>
  <c r="F279" i="12"/>
  <c r="E279" i="12"/>
  <c r="D278" i="12"/>
  <c r="H277" i="12"/>
  <c r="D277" i="12" s="1"/>
  <c r="H276" i="12"/>
  <c r="D276" i="12" s="1"/>
  <c r="H275" i="12"/>
  <c r="D275" i="12" s="1"/>
  <c r="G274" i="12"/>
  <c r="F274" i="12"/>
  <c r="E274" i="12"/>
  <c r="D273" i="12"/>
  <c r="D272" i="12"/>
  <c r="D271" i="12"/>
  <c r="D270" i="12"/>
  <c r="D269" i="12"/>
  <c r="D268" i="12"/>
  <c r="D267" i="12"/>
  <c r="D266" i="12"/>
  <c r="H265" i="12"/>
  <c r="D265" i="12" s="1"/>
  <c r="H264" i="12"/>
  <c r="D264" i="12" s="1"/>
  <c r="H263" i="12"/>
  <c r="D263" i="12" s="1"/>
  <c r="H262" i="12"/>
  <c r="D262" i="12" s="1"/>
  <c r="H261" i="12"/>
  <c r="D261" i="12" s="1"/>
  <c r="H260" i="12"/>
  <c r="D260" i="12" s="1"/>
  <c r="H259" i="12"/>
  <c r="D259" i="12" s="1"/>
  <c r="H258" i="12"/>
  <c r="D258" i="12" s="1"/>
  <c r="D257" i="12"/>
  <c r="G256" i="12"/>
  <c r="F256" i="12"/>
  <c r="E256" i="12"/>
  <c r="D253" i="12"/>
  <c r="H252" i="12"/>
  <c r="G252" i="12"/>
  <c r="F252" i="12"/>
  <c r="E252" i="12"/>
  <c r="G251" i="12"/>
  <c r="D251" i="12" s="1"/>
  <c r="H250" i="12"/>
  <c r="F250" i="12"/>
  <c r="F248" i="12" s="1"/>
  <c r="E250" i="12"/>
  <c r="E248" i="12" s="1"/>
  <c r="G247" i="12"/>
  <c r="F247" i="12"/>
  <c r="F246" i="12" s="1"/>
  <c r="F244" i="12" s="1"/>
  <c r="H246" i="12"/>
  <c r="H244" i="12" s="1"/>
  <c r="E246" i="12"/>
  <c r="D243" i="12"/>
  <c r="G242" i="12"/>
  <c r="G241" i="12" s="1"/>
  <c r="H241" i="12"/>
  <c r="F241" i="12"/>
  <c r="E241" i="12"/>
  <c r="E240" i="12"/>
  <c r="D240" i="12" s="1"/>
  <c r="E239" i="12"/>
  <c r="D239" i="12" s="1"/>
  <c r="H238" i="12"/>
  <c r="G238" i="12"/>
  <c r="F238" i="12"/>
  <c r="E237" i="12"/>
  <c r="D237" i="12" s="1"/>
  <c r="D236" i="12"/>
  <c r="D235" i="12"/>
  <c r="G234" i="12"/>
  <c r="D234" i="12" s="1"/>
  <c r="G233" i="12"/>
  <c r="D233" i="12" s="1"/>
  <c r="G232" i="12"/>
  <c r="H231" i="12"/>
  <c r="F231" i="12"/>
  <c r="E230" i="12"/>
  <c r="D230" i="12" s="1"/>
  <c r="H229" i="12"/>
  <c r="G229" i="12"/>
  <c r="F229" i="12"/>
  <c r="D228" i="12"/>
  <c r="H227" i="12"/>
  <c r="G227" i="12"/>
  <c r="F227" i="12"/>
  <c r="E227" i="12"/>
  <c r="G226" i="12"/>
  <c r="D226" i="12" s="1"/>
  <c r="G225" i="12"/>
  <c r="D225" i="12" s="1"/>
  <c r="G224" i="12"/>
  <c r="H223" i="12"/>
  <c r="F223" i="12"/>
  <c r="E223" i="12"/>
  <c r="E222" i="12"/>
  <c r="D222" i="12" s="1"/>
  <c r="E221" i="12"/>
  <c r="D221" i="12" s="1"/>
  <c r="E220" i="12"/>
  <c r="D220" i="12" s="1"/>
  <c r="D219" i="12"/>
  <c r="H218" i="12"/>
  <c r="G218" i="12"/>
  <c r="F218" i="12"/>
  <c r="G217" i="12"/>
  <c r="D217" i="12" s="1"/>
  <c r="G216" i="12"/>
  <c r="D216" i="12" s="1"/>
  <c r="H215" i="12"/>
  <c r="F215" i="12"/>
  <c r="E215" i="12"/>
  <c r="E214" i="12"/>
  <c r="D214" i="12" s="1"/>
  <c r="E213" i="12"/>
  <c r="D213" i="12" s="1"/>
  <c r="H212" i="12"/>
  <c r="G212" i="12"/>
  <c r="F212" i="12"/>
  <c r="D211" i="12"/>
  <c r="D210" i="12"/>
  <c r="D209" i="12"/>
  <c r="D208" i="12"/>
  <c r="D207" i="12"/>
  <c r="G206" i="12"/>
  <c r="D206" i="12" s="1"/>
  <c r="D205" i="12"/>
  <c r="H204" i="12"/>
  <c r="F204" i="12"/>
  <c r="E204" i="12"/>
  <c r="E203" i="12"/>
  <c r="D203" i="12" s="1"/>
  <c r="F200" i="12"/>
  <c r="F198" i="12" s="1"/>
  <c r="H198" i="12"/>
  <c r="G198" i="12"/>
  <c r="E198" i="12"/>
  <c r="E197" i="12"/>
  <c r="D197" i="12" s="1"/>
  <c r="H196" i="12"/>
  <c r="G196" i="12"/>
  <c r="F196" i="12"/>
  <c r="E195" i="12"/>
  <c r="D195" i="12" s="1"/>
  <c r="H194" i="12"/>
  <c r="G194" i="12"/>
  <c r="F194" i="12"/>
  <c r="E193" i="12"/>
  <c r="D193" i="12" s="1"/>
  <c r="E192" i="12"/>
  <c r="D192" i="12" s="1"/>
  <c r="H191" i="12"/>
  <c r="G191" i="12"/>
  <c r="F191" i="12"/>
  <c r="E190" i="12"/>
  <c r="D190" i="12" s="1"/>
  <c r="E189" i="12"/>
  <c r="D189" i="12" s="1"/>
  <c r="E188" i="12"/>
  <c r="D187" i="12"/>
  <c r="H186" i="12"/>
  <c r="G186" i="12"/>
  <c r="F186" i="12"/>
  <c r="E185" i="12"/>
  <c r="D185" i="12" s="1"/>
  <c r="H184" i="12"/>
  <c r="G184" i="12"/>
  <c r="F184" i="12"/>
  <c r="E183" i="12"/>
  <c r="D183" i="12" s="1"/>
  <c r="E182" i="12"/>
  <c r="D182" i="12" s="1"/>
  <c r="E181" i="12"/>
  <c r="D181" i="12" s="1"/>
  <c r="E180" i="12"/>
  <c r="D180" i="12" s="1"/>
  <c r="D179" i="12"/>
  <c r="H178" i="12"/>
  <c r="G178" i="12"/>
  <c r="F178" i="12"/>
  <c r="D177" i="12"/>
  <c r="H176" i="12"/>
  <c r="G176" i="12"/>
  <c r="F176" i="12"/>
  <c r="E176" i="12"/>
  <c r="F173" i="12"/>
  <c r="D173" i="12" s="1"/>
  <c r="H172" i="12"/>
  <c r="G172" i="12"/>
  <c r="E172" i="12"/>
  <c r="F171" i="12"/>
  <c r="F170" i="12"/>
  <c r="D170" i="12" s="1"/>
  <c r="H169" i="12"/>
  <c r="G169" i="12"/>
  <c r="E169" i="12"/>
  <c r="G166" i="12"/>
  <c r="G165" i="12" s="1"/>
  <c r="H165" i="12"/>
  <c r="F165" i="12"/>
  <c r="E165" i="12"/>
  <c r="G164" i="12"/>
  <c r="D164" i="12" s="1"/>
  <c r="H163" i="12"/>
  <c r="F163" i="12"/>
  <c r="E163" i="12"/>
  <c r="E162" i="12"/>
  <c r="H161" i="12"/>
  <c r="G161" i="12"/>
  <c r="F161" i="12"/>
  <c r="G160" i="12"/>
  <c r="D160" i="12" s="1"/>
  <c r="H159" i="12"/>
  <c r="F159" i="12"/>
  <c r="E159" i="12"/>
  <c r="D156" i="12"/>
  <c r="H155" i="12"/>
  <c r="G155" i="12"/>
  <c r="F155" i="12"/>
  <c r="E155" i="12"/>
  <c r="D154" i="12"/>
  <c r="H153" i="12"/>
  <c r="G153" i="12"/>
  <c r="F153" i="12"/>
  <c r="E153" i="12"/>
  <c r="D152" i="12"/>
  <c r="H151" i="12"/>
  <c r="G151" i="12"/>
  <c r="F151" i="12"/>
  <c r="E151" i="12"/>
  <c r="D148" i="12"/>
  <c r="D147" i="12"/>
  <c r="H146" i="12"/>
  <c r="H144" i="12" s="1"/>
  <c r="G146" i="12"/>
  <c r="G144" i="12" s="1"/>
  <c r="F146" i="12"/>
  <c r="F144" i="12" s="1"/>
  <c r="E146" i="12"/>
  <c r="E144" i="12" s="1"/>
  <c r="H143" i="12"/>
  <c r="D143" i="12" s="1"/>
  <c r="H142" i="12"/>
  <c r="G141" i="12"/>
  <c r="G139" i="12" s="1"/>
  <c r="F141" i="12"/>
  <c r="E141" i="12"/>
  <c r="E139" i="12" s="1"/>
  <c r="G138" i="12"/>
  <c r="D138" i="12" s="1"/>
  <c r="D137" i="12"/>
  <c r="H136" i="12"/>
  <c r="H134" i="12" s="1"/>
  <c r="F136" i="12"/>
  <c r="F134" i="12" s="1"/>
  <c r="E136" i="12"/>
  <c r="G133" i="12"/>
  <c r="F133" i="12"/>
  <c r="E133" i="12"/>
  <c r="F132" i="12"/>
  <c r="D132" i="12" s="1"/>
  <c r="H131" i="12"/>
  <c r="H129" i="12" s="1"/>
  <c r="G131" i="12"/>
  <c r="G129" i="12" s="1"/>
  <c r="E131" i="12"/>
  <c r="G128" i="12"/>
  <c r="G127" i="12" s="1"/>
  <c r="H127" i="12"/>
  <c r="F127" i="12"/>
  <c r="E127" i="12"/>
  <c r="G126" i="12"/>
  <c r="D125" i="12"/>
  <c r="D124" i="12"/>
  <c r="E123" i="12"/>
  <c r="H122" i="12"/>
  <c r="F122" i="12"/>
  <c r="H118" i="12"/>
  <c r="G117" i="12"/>
  <c r="G115" i="12" s="1"/>
  <c r="F117" i="12"/>
  <c r="E117" i="12"/>
  <c r="E115" i="12" s="1"/>
  <c r="D114" i="12"/>
  <c r="H113" i="12"/>
  <c r="G113" i="12"/>
  <c r="F113" i="12"/>
  <c r="E113" i="12"/>
  <c r="D112" i="12"/>
  <c r="H111" i="12"/>
  <c r="G111" i="12"/>
  <c r="F111" i="12"/>
  <c r="E111" i="12"/>
  <c r="D110" i="12"/>
  <c r="H109" i="12"/>
  <c r="G109" i="12"/>
  <c r="F109" i="12"/>
  <c r="E109" i="12"/>
  <c r="D108" i="12"/>
  <c r="H107" i="12"/>
  <c r="G107" i="12"/>
  <c r="F107" i="12"/>
  <c r="E107" i="12"/>
  <c r="D106" i="12"/>
  <c r="D105" i="12"/>
  <c r="H104" i="12"/>
  <c r="G104" i="12"/>
  <c r="F104" i="12"/>
  <c r="E104" i="12"/>
  <c r="D101" i="12"/>
  <c r="F100" i="12"/>
  <c r="D100" i="12" s="1"/>
  <c r="F99" i="12"/>
  <c r="D99" i="12" s="1"/>
  <c r="H98" i="12"/>
  <c r="G98" i="12"/>
  <c r="E98" i="12"/>
  <c r="F97" i="12"/>
  <c r="D97" i="12" s="1"/>
  <c r="F96" i="12"/>
  <c r="D96" i="12" s="1"/>
  <c r="F95" i="12"/>
  <c r="H94" i="12"/>
  <c r="G94" i="12"/>
  <c r="E94" i="12"/>
  <c r="F93" i="12"/>
  <c r="F92" i="12"/>
  <c r="D92" i="12" s="1"/>
  <c r="H91" i="12"/>
  <c r="G91" i="12"/>
  <c r="E91" i="12"/>
  <c r="D86" i="12"/>
  <c r="H85" i="12"/>
  <c r="G85" i="12"/>
  <c r="G83" i="12" s="1"/>
  <c r="F85" i="12"/>
  <c r="F83" i="12" s="1"/>
  <c r="E85" i="12"/>
  <c r="H83" i="12"/>
  <c r="G82" i="12"/>
  <c r="G81" i="12" s="1"/>
  <c r="H81" i="12"/>
  <c r="F81" i="12"/>
  <c r="E81" i="12"/>
  <c r="F80" i="12"/>
  <c r="D80" i="12" s="1"/>
  <c r="H79" i="12"/>
  <c r="G79" i="12"/>
  <c r="E79" i="12"/>
  <c r="D78" i="12"/>
  <c r="H77" i="12"/>
  <c r="G77" i="12"/>
  <c r="F77" i="12"/>
  <c r="E77" i="12"/>
  <c r="D76" i="12"/>
  <c r="H75" i="12"/>
  <c r="G75" i="12"/>
  <c r="F75" i="12"/>
  <c r="E75" i="12"/>
  <c r="G74" i="12"/>
  <c r="D74" i="12" s="1"/>
  <c r="F73" i="12"/>
  <c r="D73" i="12" s="1"/>
  <c r="H72" i="12"/>
  <c r="E72" i="12"/>
  <c r="F172" i="12" l="1"/>
  <c r="D172" i="12" s="1"/>
  <c r="D82" i="12"/>
  <c r="H120" i="12"/>
  <c r="D128" i="12"/>
  <c r="H174" i="12"/>
  <c r="F120" i="12"/>
  <c r="E167" i="12"/>
  <c r="E184" i="12"/>
  <c r="D184" i="12" s="1"/>
  <c r="D332" i="12"/>
  <c r="D75" i="12"/>
  <c r="F72" i="12"/>
  <c r="D151" i="12"/>
  <c r="G159" i="12"/>
  <c r="D159" i="12" s="1"/>
  <c r="D227" i="12"/>
  <c r="D200" i="12"/>
  <c r="D144" i="12"/>
  <c r="D198" i="12"/>
  <c r="D330" i="12"/>
  <c r="G163" i="12"/>
  <c r="F174" i="12"/>
  <c r="G204" i="12"/>
  <c r="D252" i="12"/>
  <c r="H282" i="12"/>
  <c r="D282" i="12" s="1"/>
  <c r="F91" i="12"/>
  <c r="D91" i="12" s="1"/>
  <c r="F94" i="12"/>
  <c r="D94" i="12" s="1"/>
  <c r="D113" i="12"/>
  <c r="G149" i="12"/>
  <c r="F201" i="12"/>
  <c r="E254" i="12"/>
  <c r="H300" i="12"/>
  <c r="D300" i="12" s="1"/>
  <c r="H320" i="12"/>
  <c r="D320" i="12" s="1"/>
  <c r="D155" i="12"/>
  <c r="F98" i="12"/>
  <c r="D98" i="12" s="1"/>
  <c r="F131" i="12"/>
  <c r="F129" i="12" s="1"/>
  <c r="D133" i="12"/>
  <c r="F157" i="12"/>
  <c r="H157" i="12"/>
  <c r="E186" i="12"/>
  <c r="D186" i="12" s="1"/>
  <c r="D204" i="12"/>
  <c r="F254" i="12"/>
  <c r="G72" i="12"/>
  <c r="G70" i="12" s="1"/>
  <c r="H102" i="12"/>
  <c r="E149" i="12"/>
  <c r="F149" i="12"/>
  <c r="G167" i="12"/>
  <c r="G174" i="12"/>
  <c r="E194" i="12"/>
  <c r="D194" i="12" s="1"/>
  <c r="G215" i="12"/>
  <c r="D215" i="12" s="1"/>
  <c r="H201" i="12"/>
  <c r="D241" i="12"/>
  <c r="D247" i="12"/>
  <c r="H248" i="12"/>
  <c r="H256" i="12"/>
  <c r="D256" i="12" s="1"/>
  <c r="D301" i="12"/>
  <c r="H311" i="12"/>
  <c r="D311" i="12" s="1"/>
  <c r="D77" i="12"/>
  <c r="G89" i="12"/>
  <c r="D93" i="12"/>
  <c r="H89" i="12"/>
  <c r="D146" i="12"/>
  <c r="D153" i="12"/>
  <c r="D188" i="12"/>
  <c r="E238" i="12"/>
  <c r="D238" i="12" s="1"/>
  <c r="G254" i="12"/>
  <c r="H314" i="12"/>
  <c r="D314" i="12" s="1"/>
  <c r="F79" i="12"/>
  <c r="D81" i="12"/>
  <c r="D107" i="12"/>
  <c r="G102" i="12"/>
  <c r="D127" i="12"/>
  <c r="H167" i="12"/>
  <c r="E218" i="12"/>
  <c r="D218" i="12" s="1"/>
  <c r="G223" i="12"/>
  <c r="D223" i="12" s="1"/>
  <c r="E229" i="12"/>
  <c r="D229" i="12" s="1"/>
  <c r="G231" i="12"/>
  <c r="H294" i="12"/>
  <c r="D294" i="12" s="1"/>
  <c r="D85" i="12"/>
  <c r="E83" i="12"/>
  <c r="D83" i="12" s="1"/>
  <c r="D118" i="12"/>
  <c r="H117" i="12"/>
  <c r="H115" i="12" s="1"/>
  <c r="G136" i="12"/>
  <c r="G134" i="12" s="1"/>
  <c r="D111" i="12"/>
  <c r="D142" i="12"/>
  <c r="H141" i="12"/>
  <c r="H139" i="12" s="1"/>
  <c r="D162" i="12"/>
  <c r="E161" i="12"/>
  <c r="D161" i="12" s="1"/>
  <c r="D176" i="12"/>
  <c r="E70" i="12"/>
  <c r="H70" i="12"/>
  <c r="E89" i="12"/>
  <c r="F102" i="12"/>
  <c r="D104" i="12"/>
  <c r="F115" i="12"/>
  <c r="H149" i="12"/>
  <c r="E178" i="12"/>
  <c r="D178" i="12" s="1"/>
  <c r="D126" i="12"/>
  <c r="G122" i="12"/>
  <c r="G120" i="12" s="1"/>
  <c r="F139" i="12"/>
  <c r="D171" i="12"/>
  <c r="F169" i="12"/>
  <c r="D109" i="12"/>
  <c r="E102" i="12"/>
  <c r="D123" i="12"/>
  <c r="E122" i="12"/>
  <c r="D165" i="12"/>
  <c r="G246" i="12"/>
  <c r="G244" i="12" s="1"/>
  <c r="D95" i="12"/>
  <c r="E129" i="12"/>
  <c r="E134" i="12"/>
  <c r="D166" i="12"/>
  <c r="E191" i="12"/>
  <c r="D191" i="12" s="1"/>
  <c r="E196" i="12"/>
  <c r="D196" i="12" s="1"/>
  <c r="D224" i="12"/>
  <c r="E231" i="12"/>
  <c r="D232" i="12"/>
  <c r="D242" i="12"/>
  <c r="E244" i="12"/>
  <c r="G250" i="12"/>
  <c r="G248" i="12" s="1"/>
  <c r="H274" i="12"/>
  <c r="D274" i="12" s="1"/>
  <c r="H279" i="12"/>
  <c r="D279" i="12" s="1"/>
  <c r="H324" i="12"/>
  <c r="D324" i="12" s="1"/>
  <c r="E212" i="12"/>
  <c r="D212" i="12" s="1"/>
  <c r="D277" i="1"/>
  <c r="D276" i="1" s="1"/>
  <c r="D23" i="12"/>
  <c r="D22" i="12"/>
  <c r="D21" i="12"/>
  <c r="D20" i="12"/>
  <c r="H18" i="12"/>
  <c r="G18" i="12"/>
  <c r="F18" i="12"/>
  <c r="E18" i="12"/>
  <c r="D231" i="12" l="1"/>
  <c r="F89" i="12"/>
  <c r="D131" i="12"/>
  <c r="D129" i="12"/>
  <c r="F70" i="12"/>
  <c r="G201" i="12"/>
  <c r="G87" i="12"/>
  <c r="H87" i="12"/>
  <c r="H68" i="12" s="1"/>
  <c r="G157" i="12"/>
  <c r="D244" i="12"/>
  <c r="D102" i="12"/>
  <c r="D149" i="12"/>
  <c r="D163" i="12"/>
  <c r="D117" i="12"/>
  <c r="D72" i="12"/>
  <c r="D139" i="12"/>
  <c r="D134" i="12"/>
  <c r="D136" i="12"/>
  <c r="D248" i="12"/>
  <c r="E174" i="12"/>
  <c r="D174" i="12" s="1"/>
  <c r="D115" i="12"/>
  <c r="D79" i="12"/>
  <c r="D18" i="12"/>
  <c r="D141" i="12"/>
  <c r="H254" i="12"/>
  <c r="D254" i="12" s="1"/>
  <c r="F87" i="12"/>
  <c r="E201" i="12"/>
  <c r="D250" i="12"/>
  <c r="D246" i="12"/>
  <c r="D122" i="12"/>
  <c r="E120" i="12"/>
  <c r="D120" i="12" s="1"/>
  <c r="F167" i="12"/>
  <c r="D167" i="12" s="1"/>
  <c r="D169" i="12"/>
  <c r="E87" i="12"/>
  <c r="D89" i="12"/>
  <c r="E157" i="12"/>
  <c r="E68" i="12" s="1"/>
  <c r="D221" i="1"/>
  <c r="D190" i="1"/>
  <c r="D177" i="1"/>
  <c r="D70" i="12" l="1"/>
  <c r="D157" i="12"/>
  <c r="D201" i="12"/>
  <c r="D87" i="12"/>
  <c r="D25" i="1"/>
  <c r="D13" i="1"/>
  <c r="D11" i="1" l="1"/>
  <c r="D68" i="12"/>
  <c r="D89" i="1"/>
  <c r="D152" i="1"/>
  <c r="D139" i="1"/>
  <c r="D88" i="1" l="1"/>
  <c r="E62" i="12" l="1"/>
  <c r="F62" i="12"/>
  <c r="G62" i="12"/>
  <c r="H62" i="12"/>
  <c r="D64" i="12"/>
  <c r="D65" i="12"/>
  <c r="D66" i="12"/>
  <c r="D67" i="12"/>
  <c r="D63" i="12"/>
  <c r="G24" i="12"/>
  <c r="H24" i="12"/>
  <c r="D61" i="12"/>
  <c r="E46" i="12"/>
  <c r="E37" i="12"/>
  <c r="E25" i="12"/>
  <c r="D27" i="12"/>
  <c r="D28" i="12"/>
  <c r="D29" i="12"/>
  <c r="D30" i="12"/>
  <c r="D31" i="12"/>
  <c r="D32" i="12"/>
  <c r="D33" i="12"/>
  <c r="D34" i="12"/>
  <c r="D35" i="12"/>
  <c r="D36" i="12"/>
  <c r="D38" i="12"/>
  <c r="D39" i="12"/>
  <c r="D40" i="12"/>
  <c r="D41" i="12"/>
  <c r="D42" i="12"/>
  <c r="D43" i="12"/>
  <c r="D44" i="12"/>
  <c r="D45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26" i="12"/>
  <c r="F46" i="12"/>
  <c r="F37" i="12"/>
  <c r="F25" i="12"/>
  <c r="F24" i="12" l="1"/>
  <c r="F16" i="12" s="1"/>
  <c r="F8" i="12" s="1"/>
  <c r="E24" i="12"/>
  <c r="E16" i="12" s="1"/>
  <c r="E15" i="12" s="1"/>
  <c r="H16" i="12"/>
  <c r="H8" i="12" s="1"/>
  <c r="G16" i="12"/>
  <c r="G8" i="12" s="1"/>
  <c r="D62" i="12"/>
  <c r="D25" i="12"/>
  <c r="D46" i="12"/>
  <c r="D37" i="12"/>
  <c r="E14" i="12" l="1"/>
  <c r="D15" i="12"/>
  <c r="D24" i="12"/>
  <c r="D16" i="12" s="1"/>
  <c r="D265" i="1"/>
  <c r="D264" i="1" s="1"/>
  <c r="E13" i="12" l="1"/>
  <c r="D14" i="12"/>
  <c r="D75" i="1"/>
  <c r="D74" i="1" s="1"/>
  <c r="E12" i="12" l="1"/>
  <c r="D13" i="12"/>
  <c r="D291" i="1"/>
  <c r="D290" i="1" s="1"/>
  <c r="D10" i="1" s="1"/>
  <c r="E10" i="12" l="1"/>
  <c r="E8" i="12" s="1"/>
  <c r="D12" i="12"/>
  <c r="D10" i="12" s="1"/>
  <c r="D8" i="12" s="1"/>
</calcChain>
</file>

<file path=xl/sharedStrings.xml><?xml version="1.0" encoding="utf-8"?>
<sst xmlns="http://schemas.openxmlformats.org/spreadsheetml/2006/main" count="705" uniqueCount="430">
  <si>
    <t xml:space="preserve"> Ծրագրի անվանումը`</t>
  </si>
  <si>
    <t xml:space="preserve"> Ծրագրի նպատակը`</t>
  </si>
  <si>
    <t xml:space="preserve"> Վերջնական արդյունքի նկարագրությունը`</t>
  </si>
  <si>
    <t xml:space="preserve"> Միջոցառման անվանումը`</t>
  </si>
  <si>
    <t xml:space="preserve"> Միջոցառման նկարագրությունը`</t>
  </si>
  <si>
    <t xml:space="preserve"> Միջոցառման տեսակը</t>
  </si>
  <si>
    <t xml:space="preserve"> Ծառայությունների մատուցում</t>
  </si>
  <si>
    <t>հազար դրամներով</t>
  </si>
  <si>
    <t>Ծրագրային դասիչը</t>
  </si>
  <si>
    <t>Ծրագիր</t>
  </si>
  <si>
    <t>Միջոցառում</t>
  </si>
  <si>
    <t>Բյուջետային գլխավոր կարգադրիչների, ծրագրերի և միջոցառումների անվանումները</t>
  </si>
  <si>
    <t>ԸՆԴԱՄԵՆԸ</t>
  </si>
  <si>
    <t xml:space="preserve"> Ցուցանիշների փոփոխություն (ավելացումները բերված են դրական նշանով, իսկ նվազեցումները` փակագծերում)</t>
  </si>
  <si>
    <t xml:space="preserve"> 11001</t>
  </si>
  <si>
    <t xml:space="preserve"> ՀՀ կառավարություն</t>
  </si>
  <si>
    <t xml:space="preserve"> 1139</t>
  </si>
  <si>
    <t xml:space="preserve"> ՀՀ կառավարության պահուստային ֆոնդ</t>
  </si>
  <si>
    <t xml:space="preserve"> Պետական բյուջեում չկանխատեսված, ինչպես նաեւ բյուջետային երաշխիքների ապահովման ծախսերի ֆինանսավորման ապահովում</t>
  </si>
  <si>
    <t xml:space="preserve"> Պահուստային ֆոնդի կառավարման արդյունավետության և թափանցիկության ապահովում</t>
  </si>
  <si>
    <t xml:space="preserve"> ՀՀ պետական բյուջեում նախատեսված ելքերի լրացուցիչ ֆինանսավորման, պետական բյուջեում չկանխատեսված ելքերի, ինչպես նաև բյուջետային երաշխիքների ապահովման ելքերի ֆինանսավորման ապահովում</t>
  </si>
  <si>
    <t>______________ ի    ___Ն որոշման</t>
  </si>
  <si>
    <t xml:space="preserve"> Բարձր տեխնոլոգիական արդյունաբերության էկոհամակարգի և շուկայի զարգացման ծրագիր</t>
  </si>
  <si>
    <t xml:space="preserve">Բյուջետային գլխավոր կարգադրիչների, ծրագրերի, միջոցառումների, միջոցառումները կատարող պետական մարմինների և ուղղությունների անվանումները </t>
  </si>
  <si>
    <t>Ընդամենը</t>
  </si>
  <si>
    <t>Կառուցման աշխատանքներ</t>
  </si>
  <si>
    <t xml:space="preserve">Վերակառուցմա,
Վերակառուցմա,
վերանորոգման և վերականգնման աշխատանքներ
</t>
  </si>
  <si>
    <t>Նախագծահետազոտական, գեոդեզիա-քարտեզագրական աշխատանքներ</t>
  </si>
  <si>
    <t>Ոչ ֆինանսական այլ ակտիվերի ձեռքբերում</t>
  </si>
  <si>
    <t>ծրագիրը</t>
  </si>
  <si>
    <t>միջոցառումը</t>
  </si>
  <si>
    <t xml:space="preserve"> ՀՀ  արդարադատության նախարարություն</t>
  </si>
  <si>
    <t xml:space="preserve"> 1057</t>
  </si>
  <si>
    <t xml:space="preserve"> Արդարադատության ոլորտում քաղաքականության  մշակում, ծրագրերի համակարգում, խորհրդատվության և մոնիտորինգի իրականացում</t>
  </si>
  <si>
    <t xml:space="preserve"> Արդարադատության ոլորտում քաղաքականության, խորհրդատվության, մոնիտորինգի, գնման և աջակցության իրականացում</t>
  </si>
  <si>
    <t xml:space="preserve"> Արդարադատության քաղաքականության իրագործմանն ուղղված ծրագրերի արդյունավետության բարելավում</t>
  </si>
  <si>
    <t xml:space="preserve"> Ծրագրի միջոցառումներ</t>
  </si>
  <si>
    <t xml:space="preserve"> 11010</t>
  </si>
  <si>
    <t xml:space="preserve"> Աջակցություն օրենսդրության զարգացման և իրավական հետազոտությունների կենտրոնի գործունեությանը</t>
  </si>
  <si>
    <t xml:space="preserve"> Օրենսդրության զարգացման և իրավական հետազոտությունների կենտրոնի գործնեության ապահովում</t>
  </si>
  <si>
    <t xml:space="preserve"> ՀՀ բարձր տեխնոլոգիական արդյունաբերության նախարարություն</t>
  </si>
  <si>
    <t xml:space="preserve"> Բարձր տեխնոլոգիաների ենթակառուցվածքների բարելավում</t>
  </si>
  <si>
    <t xml:space="preserve"> Բարձր տեխնոլոգիաների ոլորտի աճ</t>
  </si>
  <si>
    <t xml:space="preserve"> 2024թ. Տեղեկատվական տեխնոլոգիաների համաշխարհային համաժողովի կազմակերպում</t>
  </si>
  <si>
    <t xml:space="preserve"> Համաժողովի կազմակերպման իրավունքի ձեռքբերման համար Համաշխարհային տեղեկատվական տեխնոլոգիաների և ծառայությունների ալյանսին կանխավճարի վճարում</t>
  </si>
  <si>
    <t>«ՀԱՅԱՍՏԱՆԻ ՀԱՆՐԱՊԵՏՈՒԹՅԱՆ 2024 ԹՎԱԿԱՆԻ ՊԵՏԱԿԱՆ ԲՅՈՒՋԵԻ ՄԱՍԻՆ» ՀԱՅԱՍՏԱՆԻ ՀԱՆՐԱՊԵՏՈՒԹՅԱՆ ՕՐԵՆՔԻ ՀԱՎԵԼՎԱԾ 1-Ի N 3 ԱՂՅՈՒՍԱԿՈՒՄ ԿԱՏԱՐՎՈՂ ՓՈՓՈԽՈՒԹՅՈՒՆՆԵՐԸ</t>
  </si>
  <si>
    <t>ՀՀ տարածքային կառավարման և 
ենթակառուցվածքների նախարարություն</t>
  </si>
  <si>
    <t xml:space="preserve"> 1049</t>
  </si>
  <si>
    <t xml:space="preserve"> 21001</t>
  </si>
  <si>
    <t xml:space="preserve"> Պետական նշանակության ավտոճանապարհների հիմնանորոգում</t>
  </si>
  <si>
    <t>Միջպետական նշանակության ավտոճանապարհներ, այդ թվում</t>
  </si>
  <si>
    <t>Մ-1, Երևան-Գյումրի-Վրաստանի սահման միջպետական նշանակության ավտոճանապարհի կմ160+200-կմ171+700 հատվածի հիմնանորոգում</t>
  </si>
  <si>
    <t>Մ-2, Երևան-Երասխ-Գորիս-Մեղրի-Իրանի սահման միջպետական նշանակության ավտոճանապարհի կմ297+800-կմ311+250 հատվածի հիմնանորոգում (2-րդ տեղամաս՝ կմ301+820 - կմ311+250 հատված)</t>
  </si>
  <si>
    <t>Մ-3, Թուրքիայի սահման-Մարգարա-Վանաձոր-Տաշիր-Վրաստանի սահման միջպետական նշանակության ավտոճանապարհի կմ35+535-կմ39+500 հատվածի հիմնանորոգում</t>
  </si>
  <si>
    <t>Մ-3, Թուրքիայի սահման-Մարգարա-Վանաձոր-Տաշիր-Վրաստանի սահման միջպետական նշանակության ավտոճանապարհի կմ116+790 (կմ116+900) - կմ128+718 (կմ127+900) հատվածի հիմնանորոգում</t>
  </si>
  <si>
    <t>Մ-6, Վանաձոր – Ալավերդի – Վրաստանի  սահման միջպետական նշանակության ավտոճանապարհի ՊԿ384+50 - ՊԿ481+40 /ՊԿ467+50 – ՊԿ473+61/ տեղամասի (Օձունի խաչմերուկի  /Մ6 և Հ35/ ավտոճանապարհների փոխհատում) վերականգնում և բարելավում</t>
  </si>
  <si>
    <t>Մ-10, Սևան-Մարտունի-Գետափ միջպետական նշանակության ավտոճանապարհի կմ80+000-կմ94+000 հատվածի հիմնանորոգում</t>
  </si>
  <si>
    <t>Մ-11, Մարտունի - Վարդենիս - ՀՀ սահման միջպետական նշանակության ավտոճանապարհի կմ25+500-կմ29+200 հատվածի հիմնանորոգում</t>
  </si>
  <si>
    <t>Մ-11, Մարտունի - Վարդենիս - ՀՀ սահման միջպետական նշանակության ավտոճանապարհի կմ29+200-կմ38+200 հատվածի հիմնանորոգում</t>
  </si>
  <si>
    <t>Մ-12, /Մ-2/ (Գորիս) – ՀՀ սահման միջպետական նշանակության ավտոճանապարհի կմ0+000 - կմ4+000 հատվածի հիմնանորոգում</t>
  </si>
  <si>
    <t xml:space="preserve">Մ-15, /Մ-4/ (Վերին Պտղնի) - Մասիսի տրանսպորտային հանգույց (Երևանի շրջանց) միջպետական նշանակության ավտոճանապարհի կմ0+000-կմ8+200 հատվածի հիմնանորոգում </t>
  </si>
  <si>
    <t xml:space="preserve">Մ-15, /Մ-4/ (Վերին Պտղնի) - Մասիսի տրանսպորտային հանգույց (Երևանի շրջանց) միջպետական նշանակության ավտոճանապարհի կմ19+900-կմ29+400 հատվածի հիմնանորոգում </t>
  </si>
  <si>
    <t>Հանրապետական նշանակության ավտոճանապարհներ, այդ թվում</t>
  </si>
  <si>
    <t>Հ-3, Երևան (Ջրաշխարհ, Մ-4-ի հետ հատման տեղ)-Գառնի –Գեղարդի վանք հանրապետական նշանակության ավտոճանապարհի կմ33+500-կմ38+100 հատվածի հիմնանորոգում</t>
  </si>
  <si>
    <t>Հ-15, /Մ-5/(Նորապատ) -Արգավանդ –/Մ-3/ (Վարդանաշեն) հանրապետական նշանակության ավտոճանապարհի կմ0+000 - կմ3+000 հատվածի հիմնանորոգում</t>
  </si>
  <si>
    <t>Հ-16, /Մ-5/ - Մեծամոր – ՀԱԷԿ - /Մ-5/ հանրապետական նշանակության ավտոճանապարհի կմ0+000 - կմ10+700 հատվածի հիմնանորոգում</t>
  </si>
  <si>
    <t>Հ-21, /Հ-75/ - Հոռոմ-Արթիկ-Ալագյազ հանրապետական նշանակության ավտոճանապարհի կմ29+600 - կմ32+700 հատվածի հիմնանորոգում</t>
  </si>
  <si>
    <t>Հ-23, /Մ-3/ - Պուշկինյան լեռնանցք - /Մ-3/ հանրապետական նշանակության ավտոճանապարհի կմ0+000 - կմ13+400 հատվածի հիմնանորոգում</t>
  </si>
  <si>
    <t>Հ38,/Հ-30/ (Թթուջուր) – /Հ-36/ (Նավուր) հանրապետական նշանակության ավտոճանապարհի կմ0+000 - կմ15+100 հատվածի հիմնանորոգում</t>
  </si>
  <si>
    <t>Հ38,/Հ-30/ (Թթուջուր) – /Հ-36/ (Նավուր) հանրապետական նշանակության ավտոճանապարհի կմ15+100 - կմ40+100 հատվածի հիմնանորոգում</t>
  </si>
  <si>
    <t>Հ85, /Հ-1/ - Հրազդան - /Հ-55/ հանրապետական նշանակության ավտոճանապարհի կմ1+600 - կմ3+300 հատվածների հիմնանորոգում</t>
  </si>
  <si>
    <t>Մարզային նշանակության ավտոճանապարհներ, այդ թվում</t>
  </si>
  <si>
    <t>Տ-1-44,/Մ-3/ (Ապարան) - Լուսագյուղ ավտոճանապարհի կմ0+000-կմ3+000 հատվածի հիմնանորոգում</t>
  </si>
  <si>
    <t>Տ-1-62,/Հ-4/ - Երնջաթափ - Շողակն ավտոճանապարհի կմ0+000-կմ3+400 հատվածի հիմնանորոգում</t>
  </si>
  <si>
    <t>Տ-1-63,/Հ-81/ (Թաթուլ) – Կանաչ - Հակո ավտոճանապարհի կմ0+000 - կմ12+100 հատվածի հիմնանորոգում</t>
  </si>
  <si>
    <t>Տ-1-68, Ներքին Բազմաբերդ (Տ-1-65) – Կաքավաձոր (Տ-1-60) ավտոճանապարհի կմ0+000 – կմ4+100 հատվածի հիմնանորոգում</t>
  </si>
  <si>
    <t>Տ-3-16, Արևիկ (Տ-3-50) – /Հ-15/ (գ.Արմավիր) ավտոճանապարհի կմ0+000-կմ3+600 հատվածի հիմնանորոգում</t>
  </si>
  <si>
    <t>Տ-3-44, /Մ-5/ – Ծիածան – Աղավնատուն – Լեռնամերձ ավտոճանապարհի կմ0+000-կմ7+300 հատվածի հիմնանորոգում</t>
  </si>
  <si>
    <t>Տ-3-52, /Մ-5/ – Ամասիա – Նալբանդյան (Տ-3-11) – Ջանֆիդա – Փշատավան – /Հ-15/ (Արգավանդ) ավտոճանապարհի կմ14+200-կմ18+400 հատվածի հիմնանորոգում</t>
  </si>
  <si>
    <t>Տ-3-61, /Մ-5/ (Նորապատ) - /Հ-17/ ավտոճանապարհի կմ0+000-կմ1+700 հատվածի հիմնանորոգում</t>
  </si>
  <si>
    <t>Տ-4-78, /Տ-4-40/ - Նորակերտ - /Մ-14/ (Փոքր Մասրիկ) ավտոճանապարհի կմ5+200-կմ7+200 հատվածի հիմնանորոգում</t>
  </si>
  <si>
    <t>Տ-5-46, /Մ-6/(Ալավերդի) - Սանահին թաղամաս - Ակներ ավտոճանապարհի կմ0+000 - կմ9+300  և Տ-5-46-ից դեպի Սանահին վանական համալիր տանող հատվածների հիմնանորոգում</t>
  </si>
  <si>
    <t>ՀՀ Լոռու մարզ Վանաձոր համայնքի Տ. Մեծի պողոտայի հիմնանորոգում</t>
  </si>
  <si>
    <t>ՀՀ Լոռու մարզ Վանաձոր համայնքի Սանկտ - Պետերբուրգի փողոցի հիմնանորոգում</t>
  </si>
  <si>
    <t>Տ-7-53, Հ-21/ (Նոր Կյանք) – Փանիկ - Արևշատ - /Հ-21/ (Մեծ Մանթաշ) ավտոճանապարհի կմ0+000 - կմ12+800 հատվածի հիմնանորոգում</t>
  </si>
  <si>
    <t>Տ-8-56, /Մ-2/ - Հարժիս ավտոճանապարհի կմ0+000 - կմ8+000 հատվածի հիմնանորոգում</t>
  </si>
  <si>
    <t>Չբաշխված</t>
  </si>
  <si>
    <t xml:space="preserve"> 21002</t>
  </si>
  <si>
    <t xml:space="preserve"> Տրանսպորտային օբյեկտների հիմնանորոգում</t>
  </si>
  <si>
    <t xml:space="preserve">Մ-10, Սևան-Մարտունի-Գետափ միջպետական նշանակության ավտոճանապարհի կմ117+042-ում գտնվող կամրջի հիմնանորոգում </t>
  </si>
  <si>
    <t>Հ-22, /Մ-6/-Դսեղ-/Հ-70/ հանրապետական նշանակության ավտոճանապարհի առաջին կիլոմետրում գտնվող կամրջի հիմնանորոգում</t>
  </si>
  <si>
    <t>Սևանի տրանսպորտային հանգույցի հիմնանորոգում</t>
  </si>
  <si>
    <t>Հ-53, /Մ-4/ - Սեմյոնովկա - /Մ-4/ հանրապետական նշանակության ավտոճանապարհի կմ0+100 հատվածի կամրջի հիմնանորոգում</t>
  </si>
  <si>
    <t>ՀՀ կրթության, գիտության, մշակույթի և սպորտի նախարարություն</t>
  </si>
  <si>
    <t xml:space="preserve"> 1045</t>
  </si>
  <si>
    <t xml:space="preserve"> Նախնական (արհեստագործական) և միջին մասնագիտական կրթություն</t>
  </si>
  <si>
    <t xml:space="preserve"> Աշխատաշուկայի արդի պահանջներին համապատասխան նախնական մասնագիտական (արհեստագործական) և միջին մասնագիտական կրթության որակավորում ունեցող մասնագետների պատրաստում, կրթության մատչելիության ապահովում:</t>
  </si>
  <si>
    <t xml:space="preserve"> Նախնական (արհեստագործական) և միջին մասնագիտական կրթության գրավչության բարձրացում, մատչելի և մրցունակ նախնական (արհեստագործական)  և միջին մասնագիտական կրթության ապահովում</t>
  </si>
  <si>
    <t xml:space="preserve"> 32001</t>
  </si>
  <si>
    <t xml:space="preserve"> Նախնական մասնագիտական (արհեստագործական) և միջին մասնագիտական ուսումնական հաստատությունների շենքային պայմանների բարելավում</t>
  </si>
  <si>
    <t xml:space="preserve"> ՆՄՄԿՈՒ հաստատությունների շենքերի հիմնանորոգման և նախագծման (շինարարական աշխատանքներ, ջեռուցման համակարգի ստեղծում, ներքին հարդարում, տարածքի բարեկարգում) աշխատանքների իրականացում</t>
  </si>
  <si>
    <t xml:space="preserve"> Այլ պետական կազմակերպությունների կողմից օգտագործվող ոչ ֆինանսական ակտիվների հետ գործառնություններ</t>
  </si>
  <si>
    <t xml:space="preserve"> 32005</t>
  </si>
  <si>
    <t xml:space="preserve"> Նախնական մասնագիտական (արհեստագործական) և միջին մասնագիտական ուսումնական հաստատությունների շենքերի կառուցում</t>
  </si>
  <si>
    <t xml:space="preserve"> ՆՄՄԿՈՒ հաստատությունների շենքերի (մասնաշենքերի) կառուցման և նախագծման աշխատանքների իրականացում</t>
  </si>
  <si>
    <t xml:space="preserve"> 1075</t>
  </si>
  <si>
    <t xml:space="preserve"> Մշակութային ժառանգության ծրագիր</t>
  </si>
  <si>
    <t xml:space="preserve"> Մշակութային ժառանգության պահպանում, օգտագործում, համալրում և հանրահռչակում</t>
  </si>
  <si>
    <t xml:space="preserve"> Մշակութային ժառանգության շարունակական պահպանում, մշակութային զբոսաշրջության զարգացում և խթանում</t>
  </si>
  <si>
    <t xml:space="preserve"> 32008</t>
  </si>
  <si>
    <t xml:space="preserve"> Թանգարանների և պատկերասրահների գույքային և տեխնիկական  հագեցվածության բարելավում</t>
  </si>
  <si>
    <t xml:space="preserve"> Թանգարանների և պատկերասրահների համար անհրաժեշտ  գույքի, տեխնիկայի և սարքավորումների ձեռքբերում</t>
  </si>
  <si>
    <t xml:space="preserve"> 1163</t>
  </si>
  <si>
    <t xml:space="preserve"> Մասսայական սպորտ</t>
  </si>
  <si>
    <t xml:space="preserve"> Բնակչության շրջանում առողջ ապրելակերպի արմատավորում, անհատի բազմակողմանի ու ներդաշնակ զարգացման գործում ֆիզիկական կուլտուրայի և սպորտի դերի բարձրացում</t>
  </si>
  <si>
    <t xml:space="preserve"> Սպորտի նկատմամբ հետաքրքրվածության և մասնակցության ընդլայնում</t>
  </si>
  <si>
    <t xml:space="preserve"> Մարզական օբյեկտների շինարարություն</t>
  </si>
  <si>
    <t xml:space="preserve"> Մարզական օբյեկտների շենքերի (մասնաշենքերի) կառուցում (համաշինարարական աշխատանքներ, ջեռուցման համակարգի իրականացում, ներքին հարդարում, տարածքի բարեկարգում) և նախագծում</t>
  </si>
  <si>
    <t xml:space="preserve"> 32002</t>
  </si>
  <si>
    <t xml:space="preserve"> Մարզական օբյեկտների հիմնանորոգում</t>
  </si>
  <si>
    <t xml:space="preserve"> Մարզական օբյեկտների շենքերի (մասնաշենքերի) հիմնանորոգում (համաշինարարական աշխատանքներ, ջեռուցման համակարգի իրականացում, ներքին հարդարում, տարածքի բարեկարգում) և նախագծում</t>
  </si>
  <si>
    <t xml:space="preserve"> 1168</t>
  </si>
  <si>
    <t xml:space="preserve"> Արվեստների ծրագիր</t>
  </si>
  <si>
    <t xml:space="preserve"> Նպաստել ազգային հենքի վրա ժամանակակից թատերարվեստի, երաժշտարվեստի, կերպարվեստի և պարարվեստի զարգացմանը և հանրահռչակմանը</t>
  </si>
  <si>
    <t xml:space="preserve"> Մրցունակ արվեստային արտադրանքի ստեղծում, ստեղծագործական գործընթացների խթանում, արվեստի նոր նախագծերի ներդրում և մշակութային կյանքում հասարակության ներգրավում</t>
  </si>
  <si>
    <t xml:space="preserve"> Ներդրումներ թատրոնների և համերգային կազմակերպությունների շենքերի կապիտալ վերանորոգման համար</t>
  </si>
  <si>
    <t xml:space="preserve"> Թատրոնների և համերգային կազմակերպությունների շենքերի մասնաշենքերի հիմնանորոգում, համաշինարարական աշխատանքներ, ջեռուցման համակարգի իրականացում, ներքին հարդարում, տարածքի բարեկարգում և նախագծում</t>
  </si>
  <si>
    <t xml:space="preserve"> 1183</t>
  </si>
  <si>
    <t xml:space="preserve"> Ապահով դպրոց</t>
  </si>
  <si>
    <t xml:space="preserve"> Դպրոցներին սպառնացող աղետների ռիսկի կառավարման կարողությունների հզորացում, դպրոցի անձնակազմի և աշակերտների անվտանգության ապահովման մակարդակի բարձրացում՛ կիրառելով ներառական և երեխայակենտրոն մոտեցում</t>
  </si>
  <si>
    <t xml:space="preserve"> Դպրոցական միջավայրի բարելավում</t>
  </si>
  <si>
    <t xml:space="preserve"> Կրթական օբյեկտների շենքային ապահովվածության բարելավում</t>
  </si>
  <si>
    <t xml:space="preserve"> Կրթական օբյեկտների շենքերի (մասնաշենքերի) կառուցում (համաշինարարական աշխատանքներ, ջեռուցման համակարգի իրականացում, ներքին հարդարում, տարածքի բարեկարգում) և նախագծում</t>
  </si>
  <si>
    <t xml:space="preserve"> 32007</t>
  </si>
  <si>
    <t xml:space="preserve"> Հանրակրթական կրթություն իրականացնող ուսումնական հաստատությունների նոր մարզադահլիճների կառուցում</t>
  </si>
  <si>
    <t xml:space="preserve"> Հանրակրթական ուսուցում իրականացնող ուսումնական հաստատությունների նոր մարզադահլիճների կառուցման նախագծանախահաշվային փաստաթղթերի մշակում</t>
  </si>
  <si>
    <t xml:space="preserve"> 32009</t>
  </si>
  <si>
    <t xml:space="preserve"> Հանրակրթական կրթություն իրականացնող ուսումնական հաստատությունների մարզադահլիճների վերակառուցում</t>
  </si>
  <si>
    <t xml:space="preserve"> Հանրակրթական ուսուցում իրականացնող ուսումնական հաստատությունների մարզադահլիճների վերակառուցման նախագծանախահաշվային փաստաթղթերի մշակում</t>
  </si>
  <si>
    <t xml:space="preserve"> 1236</t>
  </si>
  <si>
    <t xml:space="preserve"> Հանրակրթական և նախադպրոցական հաստատությունների հիմնում, կառուցում, բարելավում</t>
  </si>
  <si>
    <t xml:space="preserve"> Առնվազն 300 դպրոցի և 500 մանկապարտեզի կառուցման, վերակառուցման, հիմնանորոգման ծրագրերի իրականացում ՀՀ պետական բյուջեի միջոցների շրջանակներում</t>
  </si>
  <si>
    <t xml:space="preserve">  Կրթական միջավայրի բարելավում</t>
  </si>
  <si>
    <t xml:space="preserve"> Հանրակրթական դպրոցների շենքերի վերակառուցում, հիմնանորոգում</t>
  </si>
  <si>
    <t xml:space="preserve"> Մանկապարտեզների շենքերի վերակառուցում, հիմնանորոգում</t>
  </si>
  <si>
    <t xml:space="preserve"> Նախադպրոցական կրթության հասանելիության ապահովման նպատակով՛ մանկապարտեզների շենքերի (մասնաշենքերի), վերակառուցում, հիմնանորոգում և նախագծում</t>
  </si>
  <si>
    <t xml:space="preserve"> 32003</t>
  </si>
  <si>
    <t xml:space="preserve"> Հանրակրթական դպրոցների նոր շենքերի կառուցում</t>
  </si>
  <si>
    <t xml:space="preserve"> 32004</t>
  </si>
  <si>
    <t xml:space="preserve"> Դպրոցական պարտադիր կրթության հասանելիության ապահովման նպատակով՛ հանրակրթական դպրոցների շենքերի (մասնաշենքերի), վերակառուցում, հիմնանորոգում և նախագծում</t>
  </si>
  <si>
    <t xml:space="preserve"> Կրթահամալիրների կառուցում</t>
  </si>
  <si>
    <t xml:space="preserve"> ՀՀ մարզերում կրթական որակյալ ծառայությունների հասանելիության ապահովման ծրագրի շրջանակներում հանրակրթական և նախադպրոցական կրթության հասանելիության ապահովման նպատակով կրթական կենտրոնների կառուցում</t>
  </si>
  <si>
    <t xml:space="preserve"> 32006</t>
  </si>
  <si>
    <t xml:space="preserve"> Հանրակրթական դպրոցների, մանկապարտեզների և կրթահամալիրների գույքով և տեխնիկայով ապահովում</t>
  </si>
  <si>
    <t xml:space="preserve"> Կրթական ժամանակակից նորմերին և կրթական չափորոշիչներին համապատասխան ուսուցման ծրագրերն իրականացնելու նպատակով հանրակրթական և նախադպրոցական հաստատությունների համար գույքի և տեխնիկայի ձեռքբերում</t>
  </si>
  <si>
    <t xml:space="preserve"> 12010</t>
  </si>
  <si>
    <t xml:space="preserve"> Տրանսֆերտների տրամադրում</t>
  </si>
  <si>
    <t xml:space="preserve"> 12011</t>
  </si>
  <si>
    <t xml:space="preserve"> Միջին մասնագիտական ուսումնական հաստատությունների հանրակրթական առարկաներ դասավանդող մանկավարժական աշխատողների կամավոր ատեստավորման համակարգի գործարկում</t>
  </si>
  <si>
    <t xml:space="preserve"> Կամավոր ատեստավորման համակարգի ներդրում՛ ուղղված նախնական մասնագիտական /արհեստագործական/ և միջին մասնագիտական ուսումնական հաստատությունների հանրակրթական առարկաներ դասավանդող մանկավարժական աշխատողների որակի բարձրացմանը</t>
  </si>
  <si>
    <t xml:space="preserve"> Նախնական մասնագիտական /արհեստագործական/ և միջին մասնագիտական ուսումնական հաստատությունների հանրակրթական առարկաներ դասավանդող մանկավարժական աշխատողների կամավոր ատեստավորման համակարգի գործարկում</t>
  </si>
  <si>
    <t xml:space="preserve"> 12007</t>
  </si>
  <si>
    <t>ՆՄՄԿ ուսումնական հաստատությունների մանկավարժական աշխատողների ատեստավորման համակարգի ներդրում՝ ուղղված մանկավարժական աշխատողների որակի և վարձատրության բարձրացմանը</t>
  </si>
  <si>
    <t xml:space="preserve"> Ատեստավորման արդյունքում մանկավարժական աշխատողներին դրույքաչափի փոփոխության և համապատասխան հավելավճարի տրամադրման ապահովում</t>
  </si>
  <si>
    <t xml:space="preserve"> 11030</t>
  </si>
  <si>
    <t xml:space="preserve"> 1041</t>
  </si>
  <si>
    <t xml:space="preserve"> Մեծ նվաճումների սպորտ</t>
  </si>
  <si>
    <t xml:space="preserve"> Նպաստել Հայաստանում մեծ սպորտի շարունակական զարգացմանը և միջազգային հարթակներում ՀՀ դիրքի բարելավմանը</t>
  </si>
  <si>
    <t xml:space="preserve"> ՀՀ առաջնությունների ընդլայնում, միջազգային սպորտային միջոցառումներին մասնակցության և նվաճումների ապահովում</t>
  </si>
  <si>
    <t xml:space="preserve"> ՀՀ հավաքական թիմերի մարզիկների ֆունկցիոնալ վիճակի արդյունավետության բարձրացման նպատակով վիտամինիզացիայի և սպորտում չարգելված կենսաբանական ակտիվ հավելումներով ապահովում</t>
  </si>
  <si>
    <t xml:space="preserve"> Կամավոր ատեստավորման համակարգի ներդրում ուղղված միջին մասնագիտական  ուսումնական հաստատությունների հանրակրթական առարկաներ դասավանդող մանկավարժական աշխատողների որակի բարձրացմանը</t>
  </si>
  <si>
    <t xml:space="preserve"> Նախադպրոցական կրթության հասանելիության ապահովման նպատակով՛ մանկապարտեզների հիմնում, նոր շենքերի (մասնաշենքերի), ներառյալ՛ Մոդուլայինե տիպի շենքերի կառուցում և նախագծում</t>
  </si>
  <si>
    <t>ՀՀ վարչապետի աշխատակազմի</t>
  </si>
  <si>
    <t xml:space="preserve"> 1033</t>
  </si>
  <si>
    <t xml:space="preserve"> Աջակցություն հասարակական և այլ կազմակերպություններին</t>
  </si>
  <si>
    <t xml:space="preserve"> Քաղաքացիական հասարակության զարգացում</t>
  </si>
  <si>
    <t xml:space="preserve"> Հասարակության կայուն զարգացման գործընթացներում քաղաքացիական հասարակության կառույցների ընդգրկվածություն և մասնակցություն</t>
  </si>
  <si>
    <t>ՀՀ վերաբերյալ պաշտոնական տեղեկատվության ապահովում՛  նաև միջազգային հարթակներում</t>
  </si>
  <si>
    <t xml:space="preserve"> Հանրության իրազեկվածության մակարդակի բարելավում, ՀՀ վերաբերյալ օբյեկտիվ տեղեկատվության ավելի լայն լսարանի ներգրավում</t>
  </si>
  <si>
    <t xml:space="preserve"> 1136</t>
  </si>
  <si>
    <t xml:space="preserve"> ՀՀ Վարչապետի լիազորությունների իրականացման ապահովում</t>
  </si>
  <si>
    <t xml:space="preserve"> Աջակցել կառավարության, վարչապետի և փոխվարչապետերի գործունեությանը</t>
  </si>
  <si>
    <t xml:space="preserve"> ՀՀ կառավարության և վարչապետի որոշումների ու հանձնարարականների կատարման վերահսկողության ապահովում</t>
  </si>
  <si>
    <t xml:space="preserve"> Ծառայությունների, ծրագրերի համակարգում</t>
  </si>
  <si>
    <t xml:space="preserve"> Աջակցություն ՀՀ կառավարությանը` քաղաքականության և ծրագրերի մշակման և իրականացման գործընթացում, վերահսկողության կատարման գործընթացում</t>
  </si>
  <si>
    <t xml:space="preserve"> Քաղաքացիական ծառայության կադրերի ռեզերվում գտնվող քաղաքացիական ծառայողների իրավունքների ապահովում </t>
  </si>
  <si>
    <t xml:space="preserve"> Քաղաքացիական ծառայության կադրերի ռեզերվում գտնվող քաղաքացիական ծառայողների վարձատրություն</t>
  </si>
  <si>
    <t xml:space="preserve"> 11018</t>
  </si>
  <si>
    <t xml:space="preserve"> Խորհրդատվական և վերլուծական   ծառայություններ</t>
  </si>
  <si>
    <t xml:space="preserve"> Մասնագիտական, խորհրդատվական և վերլուծական ծառայությունների ձեռքբերում </t>
  </si>
  <si>
    <t xml:space="preserve"> 31002</t>
  </si>
  <si>
    <t xml:space="preserve"> ՀՀ վարչապետի աշխատակազմի տեխնիկական հագեցվածության բարելավում</t>
  </si>
  <si>
    <t xml:space="preserve"> ՀՀ վարչապետի աշխատակազմի աշխատանքային պայմանների բարելավման նպատակով վարչական սարքավորումների ձեռքբերում</t>
  </si>
  <si>
    <t xml:space="preserve"> Պետական մարմինների կողմից օգտագործվող ոչ ֆինանսական ակտիվների հետ գործառնություններ</t>
  </si>
  <si>
    <t xml:space="preserve"> Պետական սեփականություն հանդիսացող կառույցում ընդհանուր նշանակության մեքենաների, սարքավորումների բարելավում</t>
  </si>
  <si>
    <t xml:space="preserve"> Պետական սեփականություն հանդիսացող կառույցում ընդհանուր նշանակության մեքենաների և սարքավորումների ձեռքբերում, փոխարինում</t>
  </si>
  <si>
    <t xml:space="preserve"> Պետական սեփականություն հանդիսացող կառավարական շենքերի վերակառուցում,հիմնանորոգում</t>
  </si>
  <si>
    <t xml:space="preserve"> Պետական սեփականություն հանդիսացող կառավարական շենքերի վերակառուցում, հիմնանորոգում, նախագծանախահաշվային փաստաթղթերի մշակում և այլ համաշինարարական աշխատանքներ</t>
  </si>
  <si>
    <t xml:space="preserve">  Պետական սեփականություն հանդիսացող շենքի կառուցում</t>
  </si>
  <si>
    <t xml:space="preserve"> Պետական սեփականություն հանդիսացող կառավարական շենքերի կառուցում, նախագծանախահաշվային փաստաթղթերի մշակում և այլ շինարարական աշխատանքներ</t>
  </si>
  <si>
    <t>Այլ պետական կազմակերպությունների կողմից օգտագործվող ոչ ֆինանսական ակտիվների հետ գործառնություններ</t>
  </si>
  <si>
    <t xml:space="preserve"> Ավագ մակարդակի կրթություն իրականացնող ուսումնական հաստատությունների շենքային պայմանների բարելավում</t>
  </si>
  <si>
    <t xml:space="preserve"> Ավագ դպրոցների շենքային պայմանների բարելավում</t>
  </si>
  <si>
    <t xml:space="preserve"> «Հայաստանի Հանրապետության Վարչապետի գավաթ» սիրողական խճուղային հեծանվավազքի մրցաշարի անցկացման համար հեծանիվների ձեռքբերում</t>
  </si>
  <si>
    <t xml:space="preserve"> «Հայաստանի Հանրապետության Վարչապետի գավաթ» սիրողական խճուղային հեծանվավազքի մրցաշարին դպրոցների աշակերտների մասնակցության ապահովման նպատակով՛ պրոֆեսիոնալ հեծանվիվների ձեռքբերում</t>
  </si>
  <si>
    <t xml:space="preserve"> 1004</t>
  </si>
  <si>
    <t xml:space="preserve"> 31012</t>
  </si>
  <si>
    <t xml:space="preserve"> Գետերի և հեղեղատարների տեղամասերի ամրացման և մաքրման աշխատանքներ</t>
  </si>
  <si>
    <t xml:space="preserve">այդ թվում՝ </t>
  </si>
  <si>
    <t>ՀՀ Արարատի մարզի Արաքսավան և Բուրաստան համայնքների Արաքս գետի N16-ից մինչև N14 սահմանների միջակայքում Արաքս գետի նախկին հունի վերականգման և N16 սահմանանշանի մոտակայքում Արաքս գետի հայկական կողմի մոտ 130 մ երկարությամբ և 8 մ խորությամբ ողողված պատնեշի վերականգնման աշխատանքների, նախագծանախահաշվային փաստաթղթերի և փորձաքննության ձեռքբերում</t>
  </si>
  <si>
    <t>Նարեկի սելավատարի հունի մաքրում 2945 մ և ափերի ամրացում 380 մ</t>
  </si>
  <si>
    <t xml:space="preserve">Գետիկ գետի հունի մաքրում </t>
  </si>
  <si>
    <t>Հակահեղեղային միջոցառումների իրականացման նախագծերի և աշխատանքների ձեռքբերում</t>
  </si>
  <si>
    <t xml:space="preserve"> ՀՀ ֆինանսների նախարարություն</t>
  </si>
  <si>
    <t xml:space="preserve"> 1006</t>
  </si>
  <si>
    <t xml:space="preserve"> Պետական պարտքի կառավարում</t>
  </si>
  <si>
    <t xml:space="preserve"> Կառավարության ֆինանսական կարիքների բավարարման մշտական հնարավորության ապահովումը` երկարաժամկետ հատվածում նվազեցնելով պարտքի սպասարկման մեծությունը</t>
  </si>
  <si>
    <t xml:space="preserve"> Կառավարության պարտքի օպտիմալ կառուցվածքի ձևավորում՛ հաշվի առնելով պոտենցիալ ռիսկերը</t>
  </si>
  <si>
    <t xml:space="preserve"> 13001</t>
  </si>
  <si>
    <t xml:space="preserve"> Կառավարության պարտքի սպասարկում</t>
  </si>
  <si>
    <t xml:space="preserve"> Կառավարության պարտքի սպասարկում (տոկոսավճարներ)</t>
  </si>
  <si>
    <t xml:space="preserve"> Ֆինանսավորման ծախսերի իրականացում</t>
  </si>
  <si>
    <t>ՀՀ ԿՐԹՈՒԹՅԱՆ, ԳԻՏՈՒԹՅԱՆ, ՄՇԱԿՈՒՅԹԻ ԵՎ ՍՊՈՐՏԻ ՆԱԽԱՐԱՐՈՒԹՅՈՒՆ</t>
  </si>
  <si>
    <t>այդ թվում`</t>
  </si>
  <si>
    <t xml:space="preserve"> այդ թվում`</t>
  </si>
  <si>
    <t>Երևան քաղաք</t>
  </si>
  <si>
    <t>«Երևանի հ․8 արհեստագործական պետական ուսումնարան» ՊՈԱԿ</t>
  </si>
  <si>
    <t>«Երևանի զարդարվեստի պետական արհեստագործական ուսումնարան» ՊՈԱԿ</t>
  </si>
  <si>
    <t>ՀՀ Արարատի մարզ</t>
  </si>
  <si>
    <t>«Մասիսի պետական գյուղատնտեսական քոլեջ» ՊՈԱԿ</t>
  </si>
  <si>
    <t>ՀՀ Արմավիրի մարզ</t>
  </si>
  <si>
    <t>«Արմավիրի տարածաշրջանային պետական քոլեջ» ՊՈԱԿ</t>
  </si>
  <si>
    <t>ՀՀ Կոտայքի մարզ</t>
  </si>
  <si>
    <t>«Նոր Գեղիի ակադեմիկոս Գ. Աղաջանյանի անվան պետական գյուղատնտեսական քոլեջ» ՊՈԱԿ</t>
  </si>
  <si>
    <t>ՀՀ Շիրակի մարզ</t>
  </si>
  <si>
    <t>«Գյումրու պետական բժշկական քոլեջ» ՊՈԱԿ</t>
  </si>
  <si>
    <t>ՀՀ Լոռու մարզ</t>
  </si>
  <si>
    <t>«Ստեփանավանի պրոֆ. Քալանթարի անվան պետական գյուղատնտեսական քոլեջ» ՊՈԱԿ</t>
  </si>
  <si>
    <t xml:space="preserve"> Հուշարձանների ամրակայում, նորոգում և վերականգնում</t>
  </si>
  <si>
    <t>1. Վերականգնողական աշխատանքներ</t>
  </si>
  <si>
    <t>որից`</t>
  </si>
  <si>
    <t>ՀՀ Արագածոնի մարզ</t>
  </si>
  <si>
    <t>Փարպի համայնքի 5-րդ դարի Ծիրանավոր եկեղեցու ամրակայում, վերականգնում և տարածքի բարեկարգում</t>
  </si>
  <si>
    <t>Ագարակ համայնքի, «Ագարակ» պատմամշակութային արգելոցի վաղ բրոնզե դարի կացարանների, միջնադարյան համալիրի և պարսպապատի վերականգնում և ամրակայում</t>
  </si>
  <si>
    <t>Լոռու մարզի Քաղաքատեղի Լոռի Բերդի միջնաբերդի պարիսպների ամրակայուման և վերականգնում</t>
  </si>
  <si>
    <t>Լոռու մարզի Քաղաքատեղի Լոռի Բերդի միջնաբերդի բաղնիքների ամրակաույմ և մասնակի վերականգնում</t>
  </si>
  <si>
    <t>Ալավերդի համայնքի Հաղպատ վանական համալիրի արևմտյան պարսպապատի և աշտարակների նորոգում, ամրակայում և վերականգնում</t>
  </si>
  <si>
    <t>ՀՀ Տավուշի մարզ</t>
  </si>
  <si>
    <t>Տավուշի մարզի «Սրվեղ» վանական համալիրի ամրակայում, վերականգնում և տարածքի բարեկարգում</t>
  </si>
  <si>
    <t>Տավուշի մարզի «Տավուշ» ամրոցի պարիսպների, կից կառույցների, եկեղեցուամրակայում, վերականգնում և տարածքի բարեկարգում</t>
  </si>
  <si>
    <t>Դիլիջան համայնքի Հ.Շարամբեյանի անվան ժողովրդական արհեստների թանգարանի նորոգում, ամրակայում</t>
  </si>
  <si>
    <t>2. Վավերագրման և ուսումնասիրման աշխատանքներ, (այդ թվում՝ հետախուզումև պեղում), գիտանախագծային փաստաթղթերի կազմում և փորձաքննում</t>
  </si>
  <si>
    <t>ՀՀ Արագածոտնի մարզ</t>
  </si>
  <si>
    <t>Կաքավաբերդի ամրակայման, նորոգման, վերականգնման գիտանախագծային փաստաթղթեր</t>
  </si>
  <si>
    <t>Տափի բերդի պարիսպներին կից օժանդակ շինությունների վերականգնման, ավտոկայանատեղի կառուցման գիտանախագծային փաստաթղթեր</t>
  </si>
  <si>
    <t>ՀՀ Գեղարքունիքի մարզ</t>
  </si>
  <si>
    <t>Բերդկունքի ամրոցի (Իշխանաց բերդ) հնավայրի պեղումներ</t>
  </si>
  <si>
    <t>ՀՀ Սյունիքի մարզ</t>
  </si>
  <si>
    <t>Բաղաբերդ ամրոցի ամրակայման, նորոգման, վերականգնման գիտանախագծային փաստաթղթեր</t>
  </si>
  <si>
    <t>ՀՀ Վայոց Ձորի մարզ</t>
  </si>
  <si>
    <t>Եղեգնաձոր համայնքի Հորս գյուղի Չեսար Օրբելյանի պալատի և հարակից եկեղեցու պեղումներ</t>
  </si>
  <si>
    <t>Ներդրումներ թանգարանների և պատկերասրահների հիմնանորոգման համար</t>
  </si>
  <si>
    <t>«Հովհաննես Շարամբեյանի անվան ժողովրդական արվեստենի թանգարան» ՊՈԱԿ</t>
  </si>
  <si>
    <t>Մարզական օբյեկտների շինարարություն</t>
  </si>
  <si>
    <t>Հեծանվային սպորտի և Հրանտ Շահինյանի անվան  սպորտային, գեղարվեստական մարմնամարզության  և ակրոբատիկայի օլիմպիական մանկապատանեկան մարզադպրոցներ</t>
  </si>
  <si>
    <t>Արթուր Աբրահամի անվան մարզահամալիր</t>
  </si>
  <si>
    <t>«Խաղային մարզաձևերի օլիմպիական մանկապատանեկան մարզադպրոց» ՊՈԱԿ</t>
  </si>
  <si>
    <t>«Երևանի օլիմպիական հերթափոխի պետական մարզական քոլեջ» ՊՈԱԿ (բռնցքամարտի և ձյուդոյի մարզադահլիճ)</t>
  </si>
  <si>
    <t>Ալագյազ համայնքում Մալխաս և Ռոման Ամոյանների անվան նոր մարզադպրոց</t>
  </si>
  <si>
    <t>Մարզական օբյեկտների հիմնանորոգում</t>
  </si>
  <si>
    <t>«Երևանի օլիմպիական հերթափոխի պետական մարզական քոլեջ» ՊՈԱԿ</t>
  </si>
  <si>
    <t xml:space="preserve"> «Հայաստանի Հանրապետության Վարչապետի գավաթ» սիրողական խճուղային հեծանվավազքի մրցաշարի անցկացման համար հեծանվիվների ձեռքբերում</t>
  </si>
  <si>
    <t>Ներդրումներ թատրոնների և համերգային կազմակերպությունների շենքերի կապիտալ վերանորոգման համար</t>
  </si>
  <si>
    <t xml:space="preserve">Երևանի մնջախաղի պետական թատրոնի շենքի վերակառուցում </t>
  </si>
  <si>
    <t>«Կարեն Դեմիրճյանի անվան մարզահամերգային համալիր» ՓԲԸ</t>
  </si>
  <si>
    <t>Երաժշտական գործիքների ձեռքբերում</t>
  </si>
  <si>
    <t>«Հայաստանի պետական ֆիլհարմոնիա» ՊՈԱԿ</t>
  </si>
  <si>
    <t>«Կամերային երաժշտության ազգային կենտրոն» ՊՈԱԿ</t>
  </si>
  <si>
    <t>Կրթական օբյեկտների շենքային ապահովվածության բարելավում</t>
  </si>
  <si>
    <t>Սպայական ավագ դպրոցի հիմնում</t>
  </si>
  <si>
    <t>Արվեստի ավագ դպրոցի հիմնում</t>
  </si>
  <si>
    <t>Ավագ մակարդակի կրթություն իրականացնող ուսումնական հաստատությունների շենքային պայմանների բարելավում</t>
  </si>
  <si>
    <t>«Ալավերդու Ստ. Շահումյանի անվան թիվ 5 ավագ դպրոց» ՊՈԱԿ /կաթսայատուն/</t>
  </si>
  <si>
    <t>«Գյումրու «Ֆոտոն» վարժարան» ՊՈԱԿ</t>
  </si>
  <si>
    <t>«Կապանի N 9 ավագ դպրոց» ՊՈԱԿ</t>
  </si>
  <si>
    <t>Հանրակրթական կրթություն իրականացնող ուսումնական հաստատությունների նոր մարզադահլիճների կառուցում</t>
  </si>
  <si>
    <t>«Մրգաստանի միջնակարգ դպրոց» ՊՈԱԿ</t>
  </si>
  <si>
    <t>ՀՀ Գեղարքունիքի մարզի Գագարինի միջնակարգ դպրոց ՊՈԱԿ</t>
  </si>
  <si>
    <t>«ք. Մարալիկի թիվ 1 միջնակարգ դպրոց»ՊՈԱԿ</t>
  </si>
  <si>
    <t>«ք. Գորիսի Ա.Բակունցի անվան թիվ 1 ավագ դպրոց»ՊՈԱԿ</t>
  </si>
  <si>
    <t>Հանրակրթական կրթություն իրականացնող ուսումնական հաստատությունների մարզադահլիճների վերակառուցում</t>
  </si>
  <si>
    <t>«Երևանի Վ. Թեքեյանի անվան թիվ 92 հիմնական դպրոց» ՊՈԱԿ</t>
  </si>
  <si>
    <t>«Երևանի հ. 37 հիմնական դպրոց» ՊՈԱԿ</t>
  </si>
  <si>
    <t>«Ալավերդու թիվ 12 հիմնական դպրոց» ՊՈԱԿ-ի մարզադահլիճի վերակառուցում</t>
  </si>
  <si>
    <t>Մանկապարտեզների նոր շենքերի կառուցում</t>
  </si>
  <si>
    <t xml:space="preserve">ՀՀ Արարատի մարզի Արալեզ համայնքում «Մոդուլային» տիպի 144 տեղ հզորությամբ մսուր-մանկապարտեզ </t>
  </si>
  <si>
    <t>ՀՀ Արմավիրի մարզի Այգեվան համայնքում «Մոդուլային» տիպի 144 տեղ հզորությամբ մսուր-մանկապարտեզ</t>
  </si>
  <si>
    <t>ՀՀ Արմավիրի մարզի Գետաշեն համայնքում «Մոդուլային» տիպի 144 տեղ հզորությամբ մսուր-մանկապարտեզ</t>
  </si>
  <si>
    <t>ՀՀ Արմավիրի մարզի Նորավան համայնքում «Մոդուլային» տիպի 144 տեղ հզորությամբ մսուր-մանկապարտեզ</t>
  </si>
  <si>
    <t>ՀՀ Արմավիրի մարզի Փշատավան համայնքում «Մոդուլային» տիպի 144 տեղ հզորությամբ մսուր-մանկապարտեզ</t>
  </si>
  <si>
    <t>ՀՀ Արմավիրի մարզի Լենուղի համայնքում «Մոդուլային» տիպի 144 տեղ հզորությամբ մսուր-մանկապարտեզ</t>
  </si>
  <si>
    <t xml:space="preserve">ՀՀ Գեղարքունիքի մարզի Աստղաձոր համայնքում «Մոդուլային» տիպի 144 տեղ հզորությամբ մսուր-մանկապարտեզ </t>
  </si>
  <si>
    <t xml:space="preserve">ՀՀ Լոռու մարզի Սպիտակ համայնքում «Մոդուլային» տիպի 144 տեղ հզորությամբ մսուր-մանկապարտեզ </t>
  </si>
  <si>
    <t>ՀՀ Լոռու մարզի Գոգարան համայնքում «Մոդուլային» տիպի 144 տեղ հզորությամբ մսուր-մանկապարտեզ</t>
  </si>
  <si>
    <t>ՀՀ Լոռու մարզի Լեռնավան համայնքում «Մոդուլային» տիպի 144 տեղ հզորությամբ մսուր-մանկապարտեզ</t>
  </si>
  <si>
    <t>ՀՀ Լոռու մարզի Լուսաղբյուր համայնքում «Մոդուլային» տիպի 144 տեղ հզորությամբ մսուր-մանկապարտեզ</t>
  </si>
  <si>
    <t>ՀՀ Շիրակի մարզի Արթիկ համայնքում «Մոդուլային» տիպի 144 տեղ հզորությամբ մսուր-մանկապարտեզ</t>
  </si>
  <si>
    <t>ՀՀ Շիրակի մարզի Արևշատ համայնքում «Մոդուլային» տիպի 144 տեղ հզորությամբ մսուր-մանկապարտեզ</t>
  </si>
  <si>
    <t>ՀՀ Վայոց ձորի մարզի Եղեգիս համայնքի Շատին բնակավայրում «Մոդուլային» տիպի 250 տեղ հզորությամբ մսուր-մանկապարտեզ</t>
  </si>
  <si>
    <t>ՀՀ Տավուշի մարզի Այրում համայնքի Բագրատաշեն բնակավայրում «Մոդուլային» տիպի 144 տեղ հզորությամբ մսուր-մանկապարտեզ</t>
  </si>
  <si>
    <t>Հանրակրթական դպրոցների նոր շենքերի կառուցում</t>
  </si>
  <si>
    <t>«Երևանի թիվ 109 ավագ դպրոց» ՊՈԱԿ</t>
  </si>
  <si>
    <t>«Երևանի հ. 12 հիմնական դպրոց» ՊՈԱԿ</t>
  </si>
  <si>
    <t>Երևանի թիվ 187 միջնակարգ դպրոց</t>
  </si>
  <si>
    <t>Երևանի Միքայել Նալբանդյանի անվան թիվ 33 հիմնական դպրոց</t>
  </si>
  <si>
    <t>Երևանի թիվ 107 հիմնական դպրոց</t>
  </si>
  <si>
    <t>«Լուսակնի միջնակարգ դպրոց» ՀՈԱԿ</t>
  </si>
  <si>
    <t>«Գառնահովիտի  միջնակարգ դպրոց» ՊՈԱԿ</t>
  </si>
  <si>
    <t>ք. Վաղարշապատի Ե.Օտյանի անվ. թիվ 7 հիմնական դպրոց</t>
  </si>
  <si>
    <t>«Վաղարշապատի հ. 1 հիմնական դպրոց» ՊՈԱԿ</t>
  </si>
  <si>
    <t>«Վարդենիսի Հ. Համբարձումյանի անվան ավագ դպրոց» ՊՈԱԿ</t>
  </si>
  <si>
    <t>«Լեռնահովիտ գյուղի Վ. Բարեղամյանի անվան հիմնական դպրոց» ՊՈԱԿ</t>
  </si>
  <si>
    <t>«Շատջրեք գյուղի միջնակարգ դպրոց» ՊՈԱԿ</t>
  </si>
  <si>
    <t>«Ջիլի միջնակարգ դպրոց» ՊՈԱԿ</t>
  </si>
  <si>
    <t>գ. Ախթալայի թիվ 2 միջնակարգ դպրոց</t>
  </si>
  <si>
    <t>գ. Ղուրսալու միջնակարգ դպրոց</t>
  </si>
  <si>
    <t>«ք. Վանաձորի Մ.Մաշտոցի անվան թիվ 15 հիմնական դպրոց» ՊՈԱԿ</t>
  </si>
  <si>
    <t>«Հրազդանի Լևոն Խեչոյանի անվան թիվ 10 ավագ դպրոց» ՊՈԱԿ</t>
  </si>
  <si>
    <t>«Արեգնադեմի միջնակարգ դպրոց» ՊՈԱԿ</t>
  </si>
  <si>
    <t xml:space="preserve">«գ. Շաղաթի միջնակարգ դպրոց» ՊՈԱԿ </t>
  </si>
  <si>
    <t xml:space="preserve">«գ. Խնձորեսկի միջնակարգ դպրոց» ՊՈԱԿ </t>
  </si>
  <si>
    <t>«ք. Ագարակի միջնակարգ դպրոց» ՊՈԱԿ</t>
  </si>
  <si>
    <t>Վաղատինի միջնակարգ դպրոց ՊՈԱԿ</t>
  </si>
  <si>
    <t>Դարբասի միջնակարգ դպրոց ՊՈԱԿ</t>
  </si>
  <si>
    <t>«Հարժիսի Համլետ Մինասյանի անվան միջնակարգ դպրոց» ՊՈԱԿ</t>
  </si>
  <si>
    <t>«Չիվայի միջնակարգ դպրոց» ՊՈԱԿ</t>
  </si>
  <si>
    <t>«Գոմքի միջնակարգ դպրոց» ՊՈԱԿ</t>
  </si>
  <si>
    <t>ք. Նոյեմբերյանի միջնակարգ դպրոց (ք. Նոյեմբերյանի թիվ 1 ավագ դպրոցի տեղակայման վայրում)</t>
  </si>
  <si>
    <t>Կիրանցի Գագիկ Վարդանյանի անվան հիմնական դպրոց ՊՈԱԿ</t>
  </si>
  <si>
    <t>Հանրակրթական դպրոցների շենքերի վերակառուցում, հիմնանորոգում</t>
  </si>
  <si>
    <t>«Երևանի թիվ 22 հիմնական դպրոց» ՊՈԱԿ</t>
  </si>
  <si>
    <t>Կրթահամալիրների կառուցում</t>
  </si>
  <si>
    <t>Սիսիան համայնքի Իշխանասարի կրթահամալիր</t>
  </si>
  <si>
    <t>գ․ Գոշի մոդուլային կրթահամալիր</t>
  </si>
  <si>
    <t>Հանրակրթական դպրոցների, մանկապարտեզների և կրթահամալիրների գույքով և տեխնիկայով ապահովում</t>
  </si>
  <si>
    <t>«Երևանի հ. 22 հիմնական դպրոց» ՊՈԱԿ</t>
  </si>
  <si>
    <t>«Երևանի Ղևոնդ Ալիշանի անվան թիվ 95 միջնակարգ դպրոց» ՊՈԱԿ</t>
  </si>
  <si>
    <t>«Երևանի Ա. Ղարիբյանի անվան N 142 ավագ  դպրոց» ՊՈԱԿ</t>
  </si>
  <si>
    <t>«Երևանի Հակոբ Կարապենցի անվան թիվ 6 հիմնական դպրոց» ՊՈԱԿ</t>
  </si>
  <si>
    <t xml:space="preserve">«Երևանի թիվ 116 հիմնական դպրոց» ՊՈԱԿ </t>
  </si>
  <si>
    <t>«Հերացի» ավագ դպրոց» ՊՈԱԿ</t>
  </si>
  <si>
    <t>«Երևանի Մուրացանի անվան թիվ 18 հիմնական դպրոց» ՊՈԱԿ</t>
  </si>
  <si>
    <t>«Երևանի Ալեքսանդր Բլոկի անվան համար 122 հիմնական դպրոց» ՊՈԱԿ</t>
  </si>
  <si>
    <t>«Երևանի Ջ. Աբրահամյանի անվան թիվ 111 հիմնական դպրոց» ՊՈԱԿ</t>
  </si>
  <si>
    <t>«Երևանի Մ. Սարյանի անվան հ. 86 հիմնական դպրոց» ՊՈԱԿ</t>
  </si>
  <si>
    <t>«Երևանի Միքայել Նալբանդյանի անվան հ.33 հիմնական դպրոց» ՊՈԱԿ</t>
  </si>
  <si>
    <t>«Երևանի Ս. Խանզադյանի անվան հ. 184 ավագ դպրոց» ՊՈԱԿ</t>
  </si>
  <si>
    <t>«Երևանի Ա. Երզնկյանի անվան հ. 118 ավագ դպրոց» ՊՈԱԿ</t>
  </si>
  <si>
    <t>«Երևանի Սիլվա Կապուտիկյանի անվան հ. 145 հիմնական դպրոց» ՊՈԱԿ</t>
  </si>
  <si>
    <t>«Երևանի Վ. Թեքեյանի անվան թիվ 92 հիմնական դպրոց» ՊՈԱԿ-ի մարզադահլիճի վերակառուցում</t>
  </si>
  <si>
    <t>«Երևանի հ. 37 հիմնական դպրոց» ՊՈԱԿ-ի մարզադահլիճի վերակառուցում</t>
  </si>
  <si>
    <t>«Երևանի հ. 136 հիմնական դպրոց» ՊՈԱԿ-ի մարզադահլիճի վերակառուցում</t>
  </si>
  <si>
    <t>«Օհանավանի Ս. Ավետիսյանի անվան միջնակարգ դպրոց» ՊՈԱԿ</t>
  </si>
  <si>
    <t>«Թալինի ավագ դպրոց» ՊՈԱԿ</t>
  </si>
  <si>
    <t>Դեղձուտի մրջնակարգ դպրոց ՊՈԱԿ</t>
  </si>
  <si>
    <t>«Մասիսի թիվ 5 ավագ դպրոց» ՊՈԱԿ</t>
  </si>
  <si>
    <t>Արգինայի միջնակարգ դպրոց ՊՈԱԿ</t>
  </si>
  <si>
    <t>«Պտղունքի Տիգրան Մեծի անվան միջնակարգ դպրոց» ՊՈԱԿ</t>
  </si>
  <si>
    <t>«Արտիմետի միջնակարգ դպրոց» ՊՈԱԿ</t>
  </si>
  <si>
    <t>«Արագածի Մ. Մեխակյանի անվան միջնակարգ դպրոց» ՊՈԱԿ</t>
  </si>
  <si>
    <t>«Վաղարշապատի Երվանդ Օտյանի անվան N 7 հիմնական դպրոց » ՊՈԱԿ</t>
  </si>
  <si>
    <t>«Ջանֆիդայի Է. Դաշտոյանի անվան միջնակարգ դպրոց» ՊՈԱԿ</t>
  </si>
  <si>
    <t>«Արմավիրի N 6 հիմնական դպրոց» ՊՈԱԿ</t>
  </si>
  <si>
    <t>Շահումյանի միջնակարգ դպրոց ՊՈԱԿ</t>
  </si>
  <si>
    <t>«Փշատավանի միջնակարգ դպրոց » ՊՈԱԿ-ի մարզադահլիճի վերակառուցում</t>
  </si>
  <si>
    <t>«Սարդարապատի միջնակարգ դպրոց» ՊՈԱԿ-ի մարզադահլիճի վերակառուցում</t>
  </si>
  <si>
    <t>«Արմավիրի հ. 8 հիմնական դպրոց» ՊՈԱԿ-ի մարզադահլիճի վերակառուցում</t>
  </si>
  <si>
    <t>«Սևան քաղաքի Խ. Աբովյանի անվան ավագ դպրոց» ՊՈԱԿ</t>
  </si>
  <si>
    <t>«Զոլաքար գյուղի Ա. Վարդանյանի անվան N2 միջնակարգ դպրոց» ՊՈԱԿ</t>
  </si>
  <si>
    <t>«Գեղարքունիքի մարզի Ակունք գյուղի միջնակարգ դպրոց» ՊՈԱԿ</t>
  </si>
  <si>
    <t>Գագարինի միջնակարգ դպրոց ՊՈԱԿ</t>
  </si>
  <si>
    <t>«Վ․ Գետաշենի թիվ 2 միջնակարգ դպրոց» ՊՈԱԿ-ի մարզադահլիճի վերակառուցում</t>
  </si>
  <si>
    <t>«Ալավերդու Ստ.Շահումյանի անվան թիվ 5 ավագ դպրոց» ՊՈԱԿ</t>
  </si>
  <si>
    <t>«Հագվու հիմնական դպրոց» ՊՈԱԿ</t>
  </si>
  <si>
    <t>«Մեդովկայի միջնակարգ դպրոց» ՊՈԱԿ</t>
  </si>
  <si>
    <t>«Վանաձորի Ղևոնդ Ալիշանի անվան N 27 հիմնական դպրոց» ՊՈԱԿ</t>
  </si>
  <si>
    <t>«Վանաձորի Խ. Աբովյանի անվան թիվ 9 հիմնական դպրոց» ՊՈԱԿ</t>
  </si>
  <si>
    <t>«Վանաձորի Ծովակալ Իսակովի անվան թիվ 23 հիմնական դպրոց ՊՈԱԿ</t>
  </si>
  <si>
    <t>Ստեփանավանի N1 վարժարան ՊՈԱԿ</t>
  </si>
  <si>
    <t>«Ագարակի միջնակարգ դպրոց» ՊՈԱԿ</t>
  </si>
  <si>
    <t>«Վարդաբլուրի միջնակարգ դպրոց» ՊՈԱԿ</t>
  </si>
  <si>
    <t xml:space="preserve"> Ջրառատի միջնակարգ դպրոց ՊՈԱԿ</t>
  </si>
  <si>
    <t xml:space="preserve"> Կաթնաղբյուրի հիմնական դպրոց ՊՈԱԿ</t>
  </si>
  <si>
    <t>«Կապսի միջնակարգ դպրոց» ՊՈԱԿ</t>
  </si>
  <si>
    <t>«Ախուրյանի Նիկոլ Աղբալյանի անվան ավագ դպրոց»ՊՈԱԿ</t>
  </si>
  <si>
    <t>«Գյումրու Ակադեմիական Վարժարան» ՊՈԱԿ</t>
  </si>
  <si>
    <t>«Արթիկ քաղաքի թիվ 3 ավագ դպրոց» ՊՈԱԿ</t>
  </si>
  <si>
    <t>«Գյումրու թիվ 27 միջնակարգ դպրոց» ՊՈԱԿ</t>
  </si>
  <si>
    <t>«Վաղատինի միջնակարգ դպրոց» ՊՈԱԿ</t>
  </si>
  <si>
    <t>«Դարբասի միջնակարգ դպրոց» ՊՈԱԿ</t>
  </si>
  <si>
    <t>«Գորիսի Ա.Բակունցի անվ.թիվ 1 ավագ դպրոց» ՊՈԱԿ</t>
  </si>
  <si>
    <t>«Եղեգնաձորի թիվ 1 հիմնական դպրոց» ՊՈԱԿ</t>
  </si>
  <si>
    <t>Եղեգիսի միջնակարգ դպրոց ՊՈԱԿ</t>
  </si>
  <si>
    <t>«Շատինի միջնակարգ դպրոց» ՊՈԱԿ</t>
  </si>
  <si>
    <t>«գ. Դովեղի միջնակարգ դպրոց» ՊՈԱԿ</t>
  </si>
  <si>
    <t>«Կիրանցի Գ.Վարդանյանի անվ. հիմնական դպրոց» ՊՈԱԿ</t>
  </si>
  <si>
    <t>ՀԱՎԵԼՎԱԾ N 13.1</t>
  </si>
  <si>
    <t xml:space="preserve">ՀՀ կառավարության 2023 թվականի </t>
  </si>
  <si>
    <t>ՀԱՎԵԼՎԱԾ N 13.2</t>
  </si>
  <si>
    <t xml:space="preserve">ՀՀ կառավարության  2023 թվականի </t>
  </si>
  <si>
    <t>Պետական  բյուջեի  դեֆիցիտի ֆինանսավորման աղբյուրներն ու դրանց տարրերի անվանումները</t>
  </si>
  <si>
    <t xml:space="preserve">  ԸՆԴԱՄԵՆԸ</t>
  </si>
  <si>
    <t>այդ թվում՝</t>
  </si>
  <si>
    <t>Ա.Ներքին աղբյուրներ-ընդամենը</t>
  </si>
  <si>
    <t>2. Ֆինանսական զուտ ակտիվներ</t>
  </si>
  <si>
    <t>«ՀԱՅԱՍՏԱՆԻ ՀԱՆՐԱՊԵՏՈՒԹՅԱՆ 2024 ԹՎԱԿԱՆԻ ՊԵՏԱԿԱՆ ԲՅՈՒՋԵԻ ՄԱՍԻՆ»  ՀԱՅԱՍՏԱՆԻ ՀԱՆՐԱՊԵՏՈՒԹՅԱՆ ՕՐԵՆՔԻ N 3 ՀԱՎԵԼՎԱԾԻ N 1
ԱՂՅՈՒՍԱԿՈՒՄ ԿԱՏԱՐՎՈՂ ՓՈՓՈԽՈՒԹՅՈՒՆՆԵՐԸ</t>
  </si>
  <si>
    <t>2.5. Տրամադրված վարկերի և փոխատվությունների վերադարձից մուտքեր</t>
  </si>
  <si>
    <t>«Բարձրավոլտ էլեկտրական ցանցեր» ՓԲԸ</t>
  </si>
  <si>
    <t>«Սահակյանշին» ՓԲԸ</t>
  </si>
  <si>
    <t>այլ</t>
  </si>
  <si>
    <t>ՀԱՎԵԼՎԱԾ N 13.3</t>
  </si>
  <si>
    <t>ՀՀ վարչապետի աշխատակազմ</t>
  </si>
  <si>
    <t xml:space="preserve">ՀՀ վարչապետի աշխատակազմի տեխնիկական հագեցվածության բարելավում </t>
  </si>
  <si>
    <t>Պետական սեփականություն հանդիսացող կառույցում ընդհանուր նշանակության մեքենաների, սարքավորումների բարելավում</t>
  </si>
  <si>
    <t>Պետական սեփականություն հանդիսացող կառավարական շենքերի վերակառուցում, հիմնանորոգում</t>
  </si>
  <si>
    <t>Պետական սեփականություն հանդիսացող շենքի կառուցում</t>
  </si>
  <si>
    <t xml:space="preserve"> այդ թվում՛</t>
  </si>
  <si>
    <t>2.3. Ելքերի ֆինանսավորմանն ուղղվող պետական բյուջեի տարեսկզբի ազատ մնացորդի միջոցներ</t>
  </si>
  <si>
    <t xml:space="preserve"> Մանկապարտեզների նոր շենքերի կառուցում</t>
  </si>
  <si>
    <t>«Հայաստանի Հանրապետության 2024 թվականի պետական բյուջեի  մասին» ՀՀ  օրենքի N 1 հավելվածի NN 1 և 2 աղյուսակների ցուցանիշներում կատարվող վերաբաշխումը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</si>
</sst>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##,##0.0;\(##,##0.0\);\-"/>
    <numFmt numFmtId="165" formatCode="_(* #,##0.0_);_(* \(#,##0.0\);_(* &quot;-&quot;??_);_(@_)"/>
    <numFmt numFmtId="166" formatCode="#,##0.0_);\(#,##0.0\)"/>
    <numFmt numFmtId="167" formatCode="#,##0.0"/>
    <numFmt numFmtId="168" formatCode="_-* #,##0.00_р_._-;\-* #,##0.00_р_._-;_-* &quot;-&quot;??_р_._-;_-@_-"/>
    <numFmt numFmtId="169" formatCode="0.0"/>
    <numFmt numFmtId="170" formatCode="#,##0.00000000000_);\(#,##0.00000000000\)"/>
    <numFmt numFmtId="171" formatCode="_-* #,##0.00\ _ _-;\-* #,##0.00\ _ _-;_-* &quot;-&quot;??\ _ _-;_-@_-"/>
    <numFmt numFmtId="172" formatCode="_-* #,##0.00&quot; &quot;_ _-;\-* #,##0.00&quot; &quot;_ _-;_-* &quot;-&quot;??&quot; &quot;_ _-;_-@_-"/>
  </numFmts>
  <fonts count="84">
    <font>
      <sz val="8"/>
      <name val="GHEA Grapala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GHEA Grapalat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</font>
    <font>
      <sz val="8"/>
      <name val="GHEA Grapalat"/>
      <family val="3"/>
    </font>
    <font>
      <sz val="10"/>
      <name val="Arial Cyr"/>
      <family val="2"/>
      <charset val="204"/>
    </font>
    <font>
      <sz val="11"/>
      <color theme="1"/>
      <name val="Times Armenian"/>
      <family val="2"/>
    </font>
    <font>
      <sz val="11"/>
      <color theme="1"/>
      <name val="Calibri"/>
      <family val="2"/>
      <scheme val="minor"/>
    </font>
    <font>
      <sz val="11"/>
      <color theme="0"/>
      <name val="Times Armenian"/>
      <family val="2"/>
    </font>
    <font>
      <sz val="11"/>
      <color theme="0"/>
      <name val="Calibri"/>
      <family val="2"/>
      <scheme val="minor"/>
    </font>
    <font>
      <sz val="11"/>
      <color rgb="FF9C0006"/>
      <name val="Times Armeni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Times Armenian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Times Armenian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i/>
      <sz val="11"/>
      <color rgb="FF7F7F7F"/>
      <name val="Times Armenian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Times Armenian"/>
      <family val="2"/>
    </font>
    <font>
      <sz val="11"/>
      <color rgb="FF006100"/>
      <name val="Calibri"/>
      <family val="2"/>
      <scheme val="minor"/>
    </font>
    <font>
      <b/>
      <sz val="15"/>
      <color theme="3"/>
      <name val="Times Armeni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Times Armenian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Times Armenian"/>
      <family val="2"/>
    </font>
    <font>
      <b/>
      <sz val="11"/>
      <color theme="3"/>
      <name val="Calibri"/>
      <family val="2"/>
      <scheme val="minor"/>
    </font>
    <font>
      <sz val="11"/>
      <color rgb="FF3F3F76"/>
      <name val="Times Armenian"/>
      <family val="2"/>
    </font>
    <font>
      <sz val="11"/>
      <color rgb="FF3F3F76"/>
      <name val="Calibri"/>
      <family val="2"/>
      <scheme val="minor"/>
    </font>
    <font>
      <sz val="11"/>
      <color rgb="FFFA7D00"/>
      <name val="Times Armenian"/>
      <family val="2"/>
    </font>
    <font>
      <sz val="11"/>
      <color rgb="FFFA7D00"/>
      <name val="Calibri"/>
      <family val="2"/>
      <scheme val="minor"/>
    </font>
    <font>
      <sz val="11"/>
      <color rgb="FF9C6500"/>
      <name val="Times Armenian"/>
      <family val="2"/>
    </font>
    <font>
      <sz val="11"/>
      <color rgb="FF9C6500"/>
      <name val="Calibri"/>
      <family val="2"/>
      <scheme val="minor"/>
    </font>
    <font>
      <b/>
      <sz val="11"/>
      <color rgb="FF3F3F3F"/>
      <name val="Times Armeni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Times Armenian"/>
      <family val="2"/>
    </font>
    <font>
      <b/>
      <sz val="11"/>
      <color theme="1"/>
      <name val="Calibri"/>
      <family val="2"/>
      <scheme val="minor"/>
    </font>
    <font>
      <sz val="11"/>
      <color rgb="FFFF0000"/>
      <name val="Times Armenian"/>
      <family val="2"/>
    </font>
    <font>
      <sz val="11"/>
      <color rgb="FFFF0000"/>
      <name val="Calibri"/>
      <family val="2"/>
      <scheme val="minor"/>
    </font>
    <font>
      <b/>
      <sz val="10"/>
      <name val="GHEA Grapalat"/>
      <family val="2"/>
    </font>
    <font>
      <b/>
      <sz val="8"/>
      <name val="GHEA Grapalat"/>
      <family val="2"/>
    </font>
    <font>
      <sz val="10"/>
      <name val="Arial Armenian"/>
      <family val="2"/>
    </font>
    <font>
      <sz val="12"/>
      <name val="Times LatArm"/>
    </font>
    <font>
      <sz val="11"/>
      <name val="GHEA Grapalat"/>
      <family val="3"/>
    </font>
    <font>
      <sz val="10"/>
      <name val="Arial"/>
      <family val="2"/>
      <charset val="204"/>
    </font>
    <font>
      <sz val="10"/>
      <color indexed="8"/>
      <name val="MS Sans Serif"/>
      <family val="2"/>
    </font>
    <font>
      <sz val="8"/>
      <name val="Arial Armenian"/>
      <family val="2"/>
      <charset val="204"/>
    </font>
    <font>
      <b/>
      <sz val="11"/>
      <name val="GHEA Grapalat"/>
      <family val="3"/>
    </font>
    <font>
      <sz val="11"/>
      <color theme="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sz val="10"/>
      <color rgb="FF9C6500"/>
      <name val="Calibri"/>
      <family val="2"/>
      <scheme val="minor"/>
    </font>
    <font>
      <sz val="11"/>
      <color rgb="FF9C6500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name val="GHEA Grapalat"/>
      <family val="3"/>
    </font>
    <font>
      <sz val="11"/>
      <color indexed="8"/>
      <name val="Calibri"/>
      <family val="2"/>
    </font>
    <font>
      <sz val="11"/>
      <color theme="1"/>
      <name val="GHEA Grapalat"/>
      <family val="3"/>
    </font>
    <font>
      <sz val="11"/>
      <color rgb="FFFF0000"/>
      <name val="GHEA Grapalat"/>
      <family val="3"/>
    </font>
    <font>
      <b/>
      <sz val="11"/>
      <name val="GHEA Grapalat"/>
      <family val="2"/>
    </font>
    <font>
      <b/>
      <u/>
      <sz val="11"/>
      <name val="GHEA Grapalat"/>
      <family val="3"/>
    </font>
    <font>
      <b/>
      <i/>
      <sz val="11"/>
      <name val="GHEA Grapalat"/>
      <family val="3"/>
    </font>
    <font>
      <b/>
      <sz val="11"/>
      <color rgb="FFFF0000"/>
      <name val="GHEA Grapalat"/>
      <family val="3"/>
    </font>
    <font>
      <b/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sz val="11"/>
      <name val="Calibri"/>
      <family val="2"/>
      <charset val="1"/>
      <scheme val="minor"/>
    </font>
    <font>
      <i/>
      <sz val="11"/>
      <color theme="1"/>
      <name val="Calibri"/>
      <family val="2"/>
      <charset val="1"/>
      <scheme val="minor"/>
    </font>
    <font>
      <i/>
      <sz val="11"/>
      <name val="Calibri"/>
      <family val="2"/>
      <charset val="1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5">
    <xf numFmtId="0" fontId="0" fillId="0" borderId="0">
      <alignment horizontal="left" vertical="top" wrapText="1"/>
    </xf>
    <xf numFmtId="0" fontId="9" fillId="2" borderId="0" applyNumberFormat="0" applyBorder="0" applyAlignment="0" applyProtection="0"/>
    <xf numFmtId="0" fontId="10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8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4" borderId="0" applyNumberFormat="0" applyBorder="0" applyAlignment="0" applyProtection="0"/>
    <xf numFmtId="0" fontId="12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5" applyNumberFormat="0" applyAlignment="0" applyProtection="0"/>
    <xf numFmtId="0" fontId="16" fillId="27" borderId="5" applyNumberFormat="0" applyAlignment="0" applyProtection="0"/>
    <xf numFmtId="0" fontId="17" fillId="28" borderId="6" applyNumberFormat="0" applyAlignment="0" applyProtection="0"/>
    <xf numFmtId="0" fontId="18" fillId="28" borderId="6" applyNumberFormat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9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0" borderId="5" applyNumberFormat="0" applyAlignment="0" applyProtection="0"/>
    <xf numFmtId="0" fontId="31" fillId="30" borderId="5" applyNumberFormat="0" applyAlignment="0" applyProtection="0"/>
    <xf numFmtId="0" fontId="32" fillId="0" borderId="10" applyNumberFormat="0" applyFill="0" applyAlignment="0" applyProtection="0"/>
    <xf numFmtId="0" fontId="33" fillId="0" borderId="10" applyNumberFormat="0" applyFill="0" applyAlignment="0" applyProtection="0"/>
    <xf numFmtId="0" fontId="34" fillId="31" borderId="0" applyNumberFormat="0" applyBorder="0" applyAlignment="0" applyProtection="0"/>
    <xf numFmtId="0" fontId="35" fillId="31" borderId="0" applyNumberFormat="0" applyBorder="0" applyAlignment="0" applyProtection="0"/>
    <xf numFmtId="0" fontId="4" fillId="0" borderId="0"/>
    <xf numFmtId="0" fontId="19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8" fillId="0" borderId="0"/>
    <xf numFmtId="0" fontId="3" fillId="0" borderId="0">
      <alignment horizontal="left" vertical="top" wrapText="1"/>
    </xf>
    <xf numFmtId="0" fontId="9" fillId="32" borderId="11" applyNumberFormat="0" applyFont="0" applyAlignment="0" applyProtection="0"/>
    <xf numFmtId="0" fontId="10" fillId="32" borderId="11" applyNumberFormat="0" applyFont="0" applyAlignment="0" applyProtection="0"/>
    <xf numFmtId="0" fontId="36" fillId="27" borderId="12" applyNumberFormat="0" applyAlignment="0" applyProtection="0"/>
    <xf numFmtId="0" fontId="37" fillId="27" borderId="12" applyNumberFormat="0" applyAlignment="0" applyProtection="0"/>
    <xf numFmtId="164" fontId="3" fillId="0" borderId="0" applyFill="0" applyBorder="0" applyProtection="0">
      <alignment horizontal="right" vertical="top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/>
    <xf numFmtId="164" fontId="44" fillId="0" borderId="0" applyFill="0" applyBorder="0" applyProtection="0">
      <alignment horizontal="right" vertical="top"/>
    </xf>
    <xf numFmtId="0" fontId="4" fillId="0" borderId="0"/>
    <xf numFmtId="164" fontId="45" fillId="0" borderId="0" applyFill="0" applyBorder="0" applyProtection="0">
      <alignment horizontal="right" vertical="top"/>
    </xf>
    <xf numFmtId="0" fontId="4" fillId="0" borderId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6" fillId="0" borderId="0"/>
    <xf numFmtId="0" fontId="1" fillId="2" borderId="0" applyNumberFormat="0" applyBorder="0" applyAlignment="0" applyProtection="0"/>
    <xf numFmtId="0" fontId="19" fillId="2" borderId="0" applyNumberFormat="0" applyBorder="0" applyAlignment="0" applyProtection="0"/>
    <xf numFmtId="0" fontId="1" fillId="3" borderId="0" applyNumberFormat="0" applyBorder="0" applyAlignment="0" applyProtection="0"/>
    <xf numFmtId="0" fontId="19" fillId="3" borderId="0" applyNumberFormat="0" applyBorder="0" applyAlignment="0" applyProtection="0"/>
    <xf numFmtId="0" fontId="1" fillId="4" borderId="0" applyNumberFormat="0" applyBorder="0" applyAlignment="0" applyProtection="0"/>
    <xf numFmtId="0" fontId="19" fillId="4" borderId="0" applyNumberFormat="0" applyBorder="0" applyAlignment="0" applyProtection="0"/>
    <xf numFmtId="0" fontId="1" fillId="5" borderId="0" applyNumberFormat="0" applyBorder="0" applyAlignment="0" applyProtection="0"/>
    <xf numFmtId="0" fontId="19" fillId="5" borderId="0" applyNumberFormat="0" applyBorder="0" applyAlignment="0" applyProtection="0"/>
    <xf numFmtId="0" fontId="1" fillId="6" borderId="0" applyNumberFormat="0" applyBorder="0" applyAlignment="0" applyProtection="0"/>
    <xf numFmtId="0" fontId="19" fillId="6" borderId="0" applyNumberFormat="0" applyBorder="0" applyAlignment="0" applyProtection="0"/>
    <xf numFmtId="0" fontId="1" fillId="7" borderId="0" applyNumberFormat="0" applyBorder="0" applyAlignment="0" applyProtection="0"/>
    <xf numFmtId="0" fontId="19" fillId="7" borderId="0" applyNumberFormat="0" applyBorder="0" applyAlignment="0" applyProtection="0"/>
    <xf numFmtId="0" fontId="1" fillId="8" borderId="0" applyNumberFormat="0" applyBorder="0" applyAlignment="0" applyProtection="0"/>
    <xf numFmtId="0" fontId="19" fillId="8" borderId="0" applyNumberFormat="0" applyBorder="0" applyAlignment="0" applyProtection="0"/>
    <xf numFmtId="0" fontId="1" fillId="9" borderId="0" applyNumberFormat="0" applyBorder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43" fontId="71" fillId="0" borderId="0" applyFont="0" applyFill="0" applyBorder="0" applyAlignment="0" applyProtection="0"/>
    <xf numFmtId="0" fontId="53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54" fillId="26" borderId="0" applyNumberFormat="0" applyBorder="0" applyAlignment="0" applyProtection="0"/>
    <xf numFmtId="0" fontId="55" fillId="27" borderId="5" applyNumberFormat="0" applyAlignment="0" applyProtection="0"/>
    <xf numFmtId="0" fontId="56" fillId="28" borderId="6" applyNumberFormat="0" applyAlignment="0" applyProtection="0"/>
    <xf numFmtId="171" fontId="46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29" borderId="0" applyNumberFormat="0" applyBorder="0" applyAlignment="0" applyProtection="0"/>
    <xf numFmtId="0" fontId="59" fillId="0" borderId="7" applyNumberFormat="0" applyFill="0" applyAlignment="0" applyProtection="0"/>
    <xf numFmtId="0" fontId="60" fillId="0" borderId="8" applyNumberFormat="0" applyFill="0" applyAlignment="0" applyProtection="0"/>
    <xf numFmtId="0" fontId="61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62" fillId="30" borderId="5" applyNumberFormat="0" applyAlignment="0" applyProtection="0"/>
    <xf numFmtId="0" fontId="63" fillId="0" borderId="10" applyNumberFormat="0" applyFill="0" applyAlignment="0" applyProtection="0"/>
    <xf numFmtId="0" fontId="64" fillId="31" borderId="0" applyNumberFormat="0" applyBorder="0" applyAlignment="0" applyProtection="0"/>
    <xf numFmtId="0" fontId="65" fillId="31" borderId="0" applyNumberFormat="0" applyBorder="0" applyAlignment="0" applyProtection="0"/>
    <xf numFmtId="0" fontId="49" fillId="0" borderId="0"/>
    <xf numFmtId="0" fontId="4" fillId="0" borderId="0"/>
    <xf numFmtId="0" fontId="19" fillId="0" borderId="0"/>
    <xf numFmtId="0" fontId="5" fillId="0" borderId="0"/>
    <xf numFmtId="0" fontId="5" fillId="0" borderId="0"/>
    <xf numFmtId="0" fontId="51" fillId="0" borderId="0">
      <alignment horizontal="left"/>
    </xf>
    <xf numFmtId="0" fontId="6" fillId="0" borderId="0"/>
    <xf numFmtId="0" fontId="5" fillId="0" borderId="0"/>
    <xf numFmtId="0" fontId="5" fillId="0" borderId="0"/>
    <xf numFmtId="0" fontId="19" fillId="0" borderId="0"/>
    <xf numFmtId="0" fontId="1" fillId="0" borderId="0"/>
    <xf numFmtId="0" fontId="6" fillId="0" borderId="0"/>
    <xf numFmtId="0" fontId="6" fillId="0" borderId="0"/>
    <xf numFmtId="0" fontId="5" fillId="0" borderId="0"/>
    <xf numFmtId="0" fontId="3" fillId="0" borderId="0">
      <alignment horizontal="left" vertical="top" wrapText="1"/>
    </xf>
    <xf numFmtId="0" fontId="1" fillId="32" borderId="11" applyNumberFormat="0" applyFont="0" applyAlignment="0" applyProtection="0"/>
    <xf numFmtId="0" fontId="19" fillId="32" borderId="11" applyNumberFormat="0" applyFont="0" applyAlignment="0" applyProtection="0"/>
    <xf numFmtId="0" fontId="66" fillId="27" borderId="12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0" fillId="0" borderId="0"/>
    <xf numFmtId="0" fontId="67" fillId="0" borderId="0" applyNumberFormat="0" applyFill="0" applyBorder="0" applyAlignment="0" applyProtection="0"/>
    <xf numFmtId="0" fontId="68" fillId="0" borderId="13" applyNumberFormat="0" applyFill="0" applyAlignment="0" applyProtection="0"/>
    <xf numFmtId="0" fontId="69" fillId="0" borderId="0" applyNumberFormat="0" applyFill="0" applyBorder="0" applyAlignment="0" applyProtection="0"/>
    <xf numFmtId="0" fontId="5" fillId="0" borderId="0"/>
  </cellStyleXfs>
  <cellXfs count="209">
    <xf numFmtId="0" fontId="0" fillId="0" borderId="0" xfId="0">
      <alignment horizontal="left" vertical="top" wrapText="1"/>
    </xf>
    <xf numFmtId="0" fontId="48" fillId="0" borderId="0" xfId="114" applyFont="1"/>
    <xf numFmtId="43" fontId="48" fillId="0" borderId="16" xfId="148" applyFont="1" applyFill="1" applyBorder="1" applyAlignment="1">
      <alignment horizontal="left" vertical="center" wrapText="1"/>
    </xf>
    <xf numFmtId="0" fontId="48" fillId="0" borderId="1" xfId="191" applyFont="1" applyBorder="1" applyAlignment="1">
      <alignment vertical="center" wrapText="1"/>
    </xf>
    <xf numFmtId="0" fontId="48" fillId="0" borderId="1" xfId="191" applyFont="1" applyBorder="1" applyAlignment="1">
      <alignment vertical="top" wrapText="1"/>
    </xf>
    <xf numFmtId="0" fontId="48" fillId="0" borderId="1" xfId="191" applyFont="1" applyBorder="1" applyAlignment="1">
      <alignment horizontal="center" vertical="center" wrapText="1"/>
    </xf>
    <xf numFmtId="0" fontId="48" fillId="0" borderId="0" xfId="114" applyFont="1" applyAlignment="1">
      <alignment horizontal="right"/>
    </xf>
    <xf numFmtId="0" fontId="48" fillId="0" borderId="0" xfId="0" applyFont="1">
      <alignment horizontal="left" vertical="top" wrapText="1"/>
    </xf>
    <xf numFmtId="0" fontId="72" fillId="0" borderId="0" xfId="114" applyFont="1"/>
    <xf numFmtId="0" fontId="48" fillId="0" borderId="0" xfId="114" applyFont="1" applyAlignment="1">
      <alignment horizontal="center"/>
    </xf>
    <xf numFmtId="0" fontId="48" fillId="0" borderId="0" xfId="114" applyFont="1" applyAlignment="1">
      <alignment wrapText="1"/>
    </xf>
    <xf numFmtId="0" fontId="48" fillId="0" borderId="0" xfId="114" applyFont="1" applyAlignment="1">
      <alignment horizontal="center" wrapText="1"/>
    </xf>
    <xf numFmtId="0" fontId="48" fillId="0" borderId="0" xfId="114" applyFont="1" applyAlignment="1">
      <alignment horizontal="right" wrapText="1"/>
    </xf>
    <xf numFmtId="165" fontId="48" fillId="0" borderId="1" xfId="55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right"/>
    </xf>
    <xf numFmtId="0" fontId="72" fillId="0" borderId="0" xfId="0" applyFont="1" applyAlignment="1"/>
    <xf numFmtId="0" fontId="48" fillId="0" borderId="0" xfId="0" applyFont="1" applyAlignment="1">
      <alignment horizontal="center" vertical="top" wrapText="1"/>
    </xf>
    <xf numFmtId="0" fontId="48" fillId="0" borderId="1" xfId="0" applyFont="1" applyBorder="1" applyAlignment="1">
      <alignment horizontal="center" vertical="top" wrapText="1"/>
    </xf>
    <xf numFmtId="0" fontId="48" fillId="0" borderId="1" xfId="0" applyFont="1" applyBorder="1" applyAlignment="1">
      <alignment horizontal="center" vertical="center" wrapText="1"/>
    </xf>
    <xf numFmtId="0" fontId="48" fillId="0" borderId="0" xfId="0" applyFont="1" applyAlignment="1">
      <alignment horizontal="left" vertical="top"/>
    </xf>
    <xf numFmtId="43" fontId="48" fillId="0" borderId="0" xfId="0" applyNumberFormat="1" applyFont="1" applyAlignment="1">
      <alignment horizontal="left" vertical="top"/>
    </xf>
    <xf numFmtId="0" fontId="52" fillId="33" borderId="4" xfId="0" applyFont="1" applyFill="1" applyBorder="1" applyAlignment="1">
      <alignment horizontal="left" vertical="center" wrapText="1"/>
    </xf>
    <xf numFmtId="165" fontId="52" fillId="33" borderId="1" xfId="55" applyNumberFormat="1" applyFont="1" applyFill="1" applyBorder="1" applyAlignment="1">
      <alignment horizontal="center" vertical="center"/>
    </xf>
    <xf numFmtId="0" fontId="48" fillId="0" borderId="1" xfId="0" applyFont="1" applyBorder="1">
      <alignment horizontal="left" vertical="top" wrapText="1"/>
    </xf>
    <xf numFmtId="0" fontId="52" fillId="0" borderId="1" xfId="0" applyFont="1" applyBorder="1">
      <alignment horizontal="left" vertical="top" wrapText="1"/>
    </xf>
    <xf numFmtId="164" fontId="52" fillId="0" borderId="1" xfId="99" applyFont="1" applyBorder="1">
      <alignment horizontal="right" vertical="top"/>
    </xf>
    <xf numFmtId="0" fontId="70" fillId="0" borderId="1" xfId="0" applyFont="1" applyBorder="1">
      <alignment horizontal="left" vertical="top" wrapText="1"/>
    </xf>
    <xf numFmtId="164" fontId="48" fillId="0" borderId="1" xfId="99" applyFont="1" applyBorder="1">
      <alignment horizontal="right" vertical="top"/>
    </xf>
    <xf numFmtId="0" fontId="48" fillId="0" borderId="1" xfId="0" applyFont="1" applyBorder="1" applyAlignment="1">
      <alignment horizontal="right" vertical="top" wrapText="1"/>
    </xf>
    <xf numFmtId="0" fontId="48" fillId="33" borderId="1" xfId="0" applyFont="1" applyFill="1" applyBorder="1">
      <alignment horizontal="left" vertical="top" wrapText="1"/>
    </xf>
    <xf numFmtId="0" fontId="73" fillId="0" borderId="0" xfId="0" applyFont="1">
      <alignment horizontal="left" vertical="top" wrapText="1"/>
    </xf>
    <xf numFmtId="43" fontId="48" fillId="0" borderId="0" xfId="55" applyFont="1" applyAlignment="1">
      <alignment horizontal="left" vertical="top" wrapText="1"/>
    </xf>
    <xf numFmtId="164" fontId="48" fillId="0" borderId="1" xfId="99" applyFont="1" applyFill="1" applyBorder="1">
      <alignment horizontal="right" vertical="top"/>
    </xf>
    <xf numFmtId="170" fontId="48" fillId="0" borderId="0" xfId="0" applyNumberFormat="1" applyFont="1">
      <alignment horizontal="left" vertical="top" wrapText="1"/>
    </xf>
    <xf numFmtId="166" fontId="48" fillId="0" borderId="0" xfId="0" applyNumberFormat="1" applyFont="1">
      <alignment horizontal="left" vertical="top" wrapText="1"/>
    </xf>
    <xf numFmtId="164" fontId="52" fillId="0" borderId="1" xfId="109" applyFont="1" applyBorder="1">
      <alignment horizontal="right" vertical="top"/>
    </xf>
    <xf numFmtId="0" fontId="48" fillId="0" borderId="0" xfId="87" applyFont="1"/>
    <xf numFmtId="0" fontId="72" fillId="0" borderId="0" xfId="87" applyFont="1"/>
    <xf numFmtId="0" fontId="52" fillId="33" borderId="1" xfId="0" applyFont="1" applyFill="1" applyBorder="1" applyAlignment="1">
      <alignment horizontal="left" vertical="center" wrapText="1"/>
    </xf>
    <xf numFmtId="165" fontId="52" fillId="33" borderId="1" xfId="55" applyNumberFormat="1" applyFont="1" applyFill="1" applyBorder="1" applyAlignment="1">
      <alignment horizontal="left" vertical="top" wrapText="1"/>
    </xf>
    <xf numFmtId="165" fontId="48" fillId="33" borderId="1" xfId="55" applyNumberFormat="1" applyFont="1" applyFill="1" applyBorder="1" applyAlignment="1">
      <alignment horizontal="left" vertical="top" wrapText="1"/>
    </xf>
    <xf numFmtId="165" fontId="48" fillId="33" borderId="1" xfId="55" applyNumberFormat="1" applyFont="1" applyFill="1" applyBorder="1" applyAlignment="1">
      <alignment vertical="center"/>
    </xf>
    <xf numFmtId="0" fontId="70" fillId="33" borderId="1" xfId="0" applyFont="1" applyFill="1" applyBorder="1">
      <alignment horizontal="left" vertical="top" wrapText="1"/>
    </xf>
    <xf numFmtId="0" fontId="48" fillId="33" borderId="1" xfId="0" applyFont="1" applyFill="1" applyBorder="1" applyAlignment="1">
      <alignment horizontal="left" vertical="center" wrapText="1"/>
    </xf>
    <xf numFmtId="165" fontId="48" fillId="0" borderId="0" xfId="55" applyNumberFormat="1" applyFont="1" applyFill="1" applyAlignment="1">
      <alignment horizontal="center" vertical="center" wrapText="1"/>
    </xf>
    <xf numFmtId="0" fontId="52" fillId="33" borderId="0" xfId="0" applyFont="1" applyFill="1" applyAlignment="1">
      <alignment wrapText="1"/>
    </xf>
    <xf numFmtId="0" fontId="48" fillId="33" borderId="0" xfId="0" applyFont="1" applyFill="1" applyAlignment="1">
      <alignment wrapText="1"/>
    </xf>
    <xf numFmtId="0" fontId="48" fillId="33" borderId="0" xfId="0" applyFont="1" applyFill="1" applyAlignment="1"/>
    <xf numFmtId="165" fontId="72" fillId="0" borderId="0" xfId="57" applyNumberFormat="1" applyFont="1" applyFill="1" applyAlignment="1">
      <alignment horizontal="right"/>
    </xf>
    <xf numFmtId="0" fontId="48" fillId="33" borderId="1" xfId="0" applyFont="1" applyFill="1" applyBorder="1" applyAlignment="1">
      <alignment horizontal="center" vertical="center" wrapText="1"/>
    </xf>
    <xf numFmtId="0" fontId="52" fillId="33" borderId="1" xfId="0" applyFont="1" applyFill="1" applyBorder="1" applyAlignment="1">
      <alignment horizontal="center" vertical="center" wrapText="1"/>
    </xf>
    <xf numFmtId="165" fontId="52" fillId="33" borderId="1" xfId="55" applyNumberFormat="1" applyFont="1" applyFill="1" applyBorder="1" applyAlignment="1">
      <alignment vertical="center" wrapText="1"/>
    </xf>
    <xf numFmtId="0" fontId="52" fillId="33" borderId="1" xfId="0" applyFont="1" applyFill="1" applyBorder="1">
      <alignment horizontal="left" vertical="top" wrapText="1"/>
    </xf>
    <xf numFmtId="0" fontId="52" fillId="33" borderId="0" xfId="0" applyFont="1" applyFill="1" applyAlignment="1">
      <alignment horizontal="center" vertical="center" wrapText="1"/>
    </xf>
    <xf numFmtId="167" fontId="74" fillId="33" borderId="0" xfId="107" applyNumberFormat="1" applyFont="1" applyFill="1">
      <alignment horizontal="right" vertical="top"/>
    </xf>
    <xf numFmtId="169" fontId="48" fillId="33" borderId="1" xfId="0" applyNumberFormat="1" applyFont="1" applyFill="1" applyBorder="1" applyAlignment="1">
      <alignment vertical="center" wrapText="1"/>
    </xf>
    <xf numFmtId="0" fontId="75" fillId="33" borderId="1" xfId="0" applyFont="1" applyFill="1" applyBorder="1" applyAlignment="1">
      <alignment horizontal="center" vertical="center" wrapText="1"/>
    </xf>
    <xf numFmtId="165" fontId="52" fillId="33" borderId="1" xfId="0" applyNumberFormat="1" applyFont="1" applyFill="1" applyBorder="1" applyAlignment="1">
      <alignment horizontal="center" vertical="center" wrapText="1"/>
    </xf>
    <xf numFmtId="43" fontId="52" fillId="33" borderId="1" xfId="0" applyNumberFormat="1" applyFont="1" applyFill="1" applyBorder="1" applyAlignment="1">
      <alignment horizontal="center" vertical="center" wrapText="1"/>
    </xf>
    <xf numFmtId="4" fontId="48" fillId="33" borderId="0" xfId="0" applyNumberFormat="1" applyFont="1" applyFill="1" applyAlignment="1">
      <alignment horizontal="center" vertical="center" wrapText="1"/>
    </xf>
    <xf numFmtId="0" fontId="48" fillId="33" borderId="0" xfId="0" applyFont="1" applyFill="1" applyAlignment="1">
      <alignment horizontal="center" vertical="center" wrapText="1"/>
    </xf>
    <xf numFmtId="0" fontId="52" fillId="33" borderId="1" xfId="0" applyFont="1" applyFill="1" applyBorder="1" applyAlignment="1">
      <alignment horizontal="center" vertical="top" wrapText="1"/>
    </xf>
    <xf numFmtId="43" fontId="52" fillId="33" borderId="1" xfId="0" applyNumberFormat="1" applyFont="1" applyFill="1" applyBorder="1">
      <alignment horizontal="left" vertical="top" wrapText="1"/>
    </xf>
    <xf numFmtId="0" fontId="76" fillId="33" borderId="1" xfId="108" applyFont="1" applyFill="1" applyBorder="1" applyAlignment="1">
      <alignment horizontal="center" vertical="center" wrapText="1"/>
    </xf>
    <xf numFmtId="165" fontId="76" fillId="33" borderId="1" xfId="57" applyNumberFormat="1" applyFont="1" applyFill="1" applyBorder="1" applyAlignment="1">
      <alignment vertical="center" wrapText="1"/>
    </xf>
    <xf numFmtId="165" fontId="70" fillId="33" borderId="1" xfId="57" applyNumberFormat="1" applyFont="1" applyFill="1" applyBorder="1" applyAlignment="1">
      <alignment horizontal="left" vertical="top" wrapText="1"/>
    </xf>
    <xf numFmtId="165" fontId="48" fillId="33" borderId="1" xfId="0" applyNumberFormat="1" applyFont="1" applyFill="1" applyBorder="1" applyAlignment="1">
      <alignment vertical="center" wrapText="1"/>
    </xf>
    <xf numFmtId="165" fontId="52" fillId="33" borderId="1" xfId="0" applyNumberFormat="1" applyFont="1" applyFill="1" applyBorder="1" applyAlignment="1">
      <alignment vertical="center" wrapText="1"/>
    </xf>
    <xf numFmtId="165" fontId="48" fillId="33" borderId="1" xfId="0" applyNumberFormat="1" applyFont="1" applyFill="1" applyBorder="1" applyAlignment="1">
      <alignment wrapText="1"/>
    </xf>
    <xf numFmtId="165" fontId="76" fillId="33" borderId="1" xfId="57" applyNumberFormat="1" applyFont="1" applyFill="1" applyBorder="1" applyAlignment="1">
      <alignment horizontal="left" vertical="top" wrapText="1"/>
    </xf>
    <xf numFmtId="0" fontId="76" fillId="33" borderId="1" xfId="0" applyFont="1" applyFill="1" applyBorder="1">
      <alignment horizontal="left" vertical="top" wrapText="1"/>
    </xf>
    <xf numFmtId="165" fontId="48" fillId="33" borderId="1" xfId="0" applyNumberFormat="1" applyFont="1" applyFill="1" applyBorder="1">
      <alignment horizontal="left" vertical="top" wrapText="1"/>
    </xf>
    <xf numFmtId="165" fontId="76" fillId="33" borderId="1" xfId="0" applyNumberFormat="1" applyFont="1" applyFill="1" applyBorder="1">
      <alignment horizontal="left" vertical="top" wrapText="1"/>
    </xf>
    <xf numFmtId="165" fontId="52" fillId="33" borderId="1" xfId="0" applyNumberFormat="1" applyFont="1" applyFill="1" applyBorder="1" applyAlignment="1">
      <alignment wrapText="1"/>
    </xf>
    <xf numFmtId="0" fontId="52" fillId="33" borderId="1" xfId="110" applyFont="1" applyFill="1" applyBorder="1" applyAlignment="1">
      <alignment horizontal="center" vertical="center" wrapText="1"/>
    </xf>
    <xf numFmtId="0" fontId="75" fillId="33" borderId="1" xfId="110" applyFont="1" applyFill="1" applyBorder="1" applyAlignment="1">
      <alignment horizontal="center" vertical="center" wrapText="1"/>
    </xf>
    <xf numFmtId="166" fontId="52" fillId="33" borderId="1" xfId="110" applyNumberFormat="1" applyFont="1" applyFill="1" applyBorder="1" applyAlignment="1">
      <alignment horizontal="center" vertical="center" wrapText="1"/>
    </xf>
    <xf numFmtId="164" fontId="52" fillId="33" borderId="1" xfId="99" applyFont="1" applyFill="1" applyBorder="1" applyAlignment="1">
      <alignment horizontal="center" vertical="center"/>
    </xf>
    <xf numFmtId="167" fontId="19" fillId="33" borderId="0" xfId="111" applyNumberFormat="1" applyFill="1"/>
    <xf numFmtId="166" fontId="19" fillId="33" borderId="0" xfId="111" applyNumberFormat="1" applyFill="1"/>
    <xf numFmtId="0" fontId="19" fillId="33" borderId="0" xfId="111" applyFill="1"/>
    <xf numFmtId="0" fontId="48" fillId="33" borderId="1" xfId="110" applyFont="1" applyFill="1" applyBorder="1" applyAlignment="1">
      <alignment horizontal="left" vertical="center" wrapText="1"/>
    </xf>
    <xf numFmtId="166" fontId="77" fillId="33" borderId="1" xfId="110" applyNumberFormat="1" applyFont="1" applyFill="1" applyBorder="1" applyAlignment="1">
      <alignment horizontal="center" vertical="center" wrapText="1"/>
    </xf>
    <xf numFmtId="167" fontId="48" fillId="33" borderId="1" xfId="110" applyNumberFormat="1" applyFont="1" applyFill="1" applyBorder="1" applyAlignment="1">
      <alignment horizontal="center" vertical="center" wrapText="1"/>
    </xf>
    <xf numFmtId="0" fontId="52" fillId="33" borderId="1" xfId="110" applyFont="1" applyFill="1" applyBorder="1" applyAlignment="1">
      <alignment horizontal="left" vertical="center" wrapText="1"/>
    </xf>
    <xf numFmtId="0" fontId="78" fillId="33" borderId="1" xfId="111" applyFont="1" applyFill="1" applyBorder="1"/>
    <xf numFmtId="0" fontId="72" fillId="33" borderId="1" xfId="111" applyFont="1" applyFill="1" applyBorder="1" applyAlignment="1">
      <alignment horizontal="left" vertical="center"/>
    </xf>
    <xf numFmtId="166" fontId="72" fillId="33" borderId="1" xfId="111" applyNumberFormat="1" applyFont="1" applyFill="1" applyBorder="1"/>
    <xf numFmtId="0" fontId="72" fillId="33" borderId="1" xfId="111" applyFont="1" applyFill="1" applyBorder="1"/>
    <xf numFmtId="0" fontId="76" fillId="33" borderId="1" xfId="110" applyFont="1" applyFill="1" applyBorder="1" applyAlignment="1">
      <alignment horizontal="left" vertical="center" wrapText="1"/>
    </xf>
    <xf numFmtId="166" fontId="79" fillId="33" borderId="1" xfId="112" applyNumberFormat="1" applyFont="1" applyFill="1" applyBorder="1"/>
    <xf numFmtId="165" fontId="79" fillId="33" borderId="1" xfId="112" applyNumberFormat="1" applyFont="1" applyFill="1" applyBorder="1"/>
    <xf numFmtId="0" fontId="78" fillId="33" borderId="14" xfId="111" applyFont="1" applyFill="1" applyBorder="1" applyAlignment="1">
      <alignment horizontal="center"/>
    </xf>
    <xf numFmtId="0" fontId="70" fillId="33" borderId="1" xfId="111" applyFont="1" applyFill="1" applyBorder="1" applyAlignment="1">
      <alignment vertical="center" wrapText="1"/>
    </xf>
    <xf numFmtId="166" fontId="80" fillId="33" borderId="1" xfId="112" applyNumberFormat="1" applyFont="1" applyFill="1" applyBorder="1" applyAlignment="1">
      <alignment vertical="center"/>
    </xf>
    <xf numFmtId="165" fontId="80" fillId="33" borderId="1" xfId="112" applyNumberFormat="1" applyFont="1" applyFill="1" applyBorder="1" applyAlignment="1">
      <alignment vertical="center"/>
    </xf>
    <xf numFmtId="0" fontId="80" fillId="33" borderId="1" xfId="111" applyFont="1" applyFill="1" applyBorder="1" applyAlignment="1">
      <alignment vertical="center"/>
    </xf>
    <xf numFmtId="0" fontId="78" fillId="33" borderId="4" xfId="111" applyFont="1" applyFill="1" applyBorder="1" applyAlignment="1">
      <alignment horizontal="center"/>
    </xf>
    <xf numFmtId="166" fontId="70" fillId="33" borderId="1" xfId="112" applyNumberFormat="1" applyFont="1" applyFill="1" applyBorder="1" applyAlignment="1">
      <alignment vertical="center"/>
    </xf>
    <xf numFmtId="165" fontId="70" fillId="33" borderId="1" xfId="112" applyNumberFormat="1" applyFont="1" applyFill="1" applyBorder="1" applyAlignment="1">
      <alignment vertical="center"/>
    </xf>
    <xf numFmtId="0" fontId="70" fillId="33" borderId="1" xfId="111" applyFont="1" applyFill="1" applyBorder="1" applyAlignment="1">
      <alignment vertical="center"/>
    </xf>
    <xf numFmtId="0" fontId="81" fillId="33" borderId="0" xfId="111" applyFont="1" applyFill="1"/>
    <xf numFmtId="166" fontId="76" fillId="33" borderId="1" xfId="112" applyNumberFormat="1" applyFont="1" applyFill="1" applyBorder="1" applyAlignment="1">
      <alignment vertical="center"/>
    </xf>
    <xf numFmtId="165" fontId="79" fillId="33" borderId="1" xfId="112" applyNumberFormat="1" applyFont="1" applyFill="1" applyBorder="1" applyAlignment="1">
      <alignment vertical="center"/>
    </xf>
    <xf numFmtId="0" fontId="52" fillId="33" borderId="0" xfId="0" applyFont="1" applyFill="1" applyAlignment="1">
      <alignment vertical="center" wrapText="1"/>
    </xf>
    <xf numFmtId="0" fontId="48" fillId="33" borderId="0" xfId="0" applyFont="1" applyFill="1" applyAlignment="1">
      <alignment vertical="center" wrapText="1"/>
    </xf>
    <xf numFmtId="0" fontId="80" fillId="33" borderId="1" xfId="111" applyFont="1" applyFill="1" applyBorder="1" applyAlignment="1">
      <alignment vertical="center" wrapText="1"/>
    </xf>
    <xf numFmtId="43" fontId="80" fillId="33" borderId="1" xfId="111" applyNumberFormat="1" applyFont="1" applyFill="1" applyBorder="1" applyAlignment="1">
      <alignment vertical="center"/>
    </xf>
    <xf numFmtId="0" fontId="78" fillId="33" borderId="1" xfId="111" applyFont="1" applyFill="1" applyBorder="1" applyAlignment="1">
      <alignment horizontal="center"/>
    </xf>
    <xf numFmtId="0" fontId="72" fillId="33" borderId="1" xfId="111" applyFont="1" applyFill="1" applyBorder="1" applyAlignment="1">
      <alignment horizontal="left"/>
    </xf>
    <xf numFmtId="0" fontId="82" fillId="33" borderId="0" xfId="111" applyFont="1" applyFill="1"/>
    <xf numFmtId="0" fontId="76" fillId="33" borderId="1" xfId="110" applyFont="1" applyFill="1" applyBorder="1" applyAlignment="1">
      <alignment horizontal="center" vertical="center" wrapText="1"/>
    </xf>
    <xf numFmtId="166" fontId="76" fillId="33" borderId="1" xfId="110" applyNumberFormat="1" applyFont="1" applyFill="1" applyBorder="1" applyAlignment="1">
      <alignment horizontal="center" vertical="center" wrapText="1"/>
    </xf>
    <xf numFmtId="0" fontId="83" fillId="33" borderId="0" xfId="111" applyFont="1" applyFill="1"/>
    <xf numFmtId="0" fontId="48" fillId="33" borderId="1" xfId="110" applyFont="1" applyFill="1" applyBorder="1" applyAlignment="1">
      <alignment horizontal="center" vertical="center" wrapText="1"/>
    </xf>
    <xf numFmtId="0" fontId="52" fillId="33" borderId="1" xfId="110" applyFont="1" applyFill="1" applyBorder="1" applyAlignment="1">
      <alignment vertical="center" wrapText="1"/>
    </xf>
    <xf numFmtId="166" fontId="76" fillId="33" borderId="1" xfId="112" applyNumberFormat="1" applyFont="1" applyFill="1" applyBorder="1"/>
    <xf numFmtId="165" fontId="76" fillId="33" borderId="1" xfId="112" applyNumberFormat="1" applyFont="1" applyFill="1" applyBorder="1"/>
    <xf numFmtId="0" fontId="83" fillId="33" borderId="0" xfId="111" applyFont="1" applyFill="1" applyAlignment="1">
      <alignment vertical="center"/>
    </xf>
    <xf numFmtId="169" fontId="83" fillId="33" borderId="0" xfId="111" applyNumberFormat="1" applyFont="1" applyFill="1" applyAlignment="1">
      <alignment vertical="center"/>
    </xf>
    <xf numFmtId="0" fontId="52" fillId="33" borderId="1" xfId="111" applyFont="1" applyFill="1" applyBorder="1"/>
    <xf numFmtId="165" fontId="76" fillId="33" borderId="1" xfId="112" applyNumberFormat="1" applyFont="1" applyFill="1" applyBorder="1" applyAlignment="1">
      <alignment vertical="center"/>
    </xf>
    <xf numFmtId="0" fontId="52" fillId="33" borderId="14" xfId="111" applyFont="1" applyFill="1" applyBorder="1" applyAlignment="1">
      <alignment horizontal="center"/>
    </xf>
    <xf numFmtId="0" fontId="52" fillId="33" borderId="4" xfId="111" applyFont="1" applyFill="1" applyBorder="1" applyAlignment="1">
      <alignment horizontal="center"/>
    </xf>
    <xf numFmtId="0" fontId="52" fillId="33" borderId="15" xfId="111" applyFont="1" applyFill="1" applyBorder="1"/>
    <xf numFmtId="0" fontId="78" fillId="33" borderId="1" xfId="111" applyFont="1" applyFill="1" applyBorder="1" applyAlignment="1">
      <alignment vertical="center"/>
    </xf>
    <xf numFmtId="166" fontId="79" fillId="33" borderId="1" xfId="112" applyNumberFormat="1" applyFont="1" applyFill="1" applyBorder="1" applyAlignment="1">
      <alignment vertical="center"/>
    </xf>
    <xf numFmtId="0" fontId="82" fillId="33" borderId="0" xfId="111" applyFont="1" applyFill="1" applyAlignment="1">
      <alignment vertical="center"/>
    </xf>
    <xf numFmtId="0" fontId="78" fillId="33" borderId="15" xfId="111" applyFont="1" applyFill="1" applyBorder="1" applyAlignment="1">
      <alignment horizontal="center"/>
    </xf>
    <xf numFmtId="0" fontId="78" fillId="33" borderId="4" xfId="111" applyFont="1" applyFill="1" applyBorder="1"/>
    <xf numFmtId="166" fontId="78" fillId="33" borderId="1" xfId="111" applyNumberFormat="1" applyFont="1" applyFill="1" applyBorder="1" applyAlignment="1">
      <alignment vertical="center"/>
    </xf>
    <xf numFmtId="166" fontId="72" fillId="33" borderId="1" xfId="112" applyNumberFormat="1" applyFont="1" applyFill="1" applyBorder="1"/>
    <xf numFmtId="165" fontId="72" fillId="33" borderId="1" xfId="112" applyNumberFormat="1" applyFont="1" applyFill="1" applyBorder="1"/>
    <xf numFmtId="0" fontId="70" fillId="33" borderId="3" xfId="111" applyFont="1" applyFill="1" applyBorder="1" applyAlignment="1">
      <alignment vertical="center" wrapText="1"/>
    </xf>
    <xf numFmtId="0" fontId="52" fillId="33" borderId="1" xfId="111" applyFont="1" applyFill="1" applyBorder="1" applyAlignment="1">
      <alignment horizontal="center"/>
    </xf>
    <xf numFmtId="0" fontId="48" fillId="33" borderId="1" xfId="111" applyFont="1" applyFill="1" applyBorder="1" applyAlignment="1">
      <alignment horizontal="left"/>
    </xf>
    <xf numFmtId="166" fontId="48" fillId="33" borderId="1" xfId="112" applyNumberFormat="1" applyFont="1" applyFill="1" applyBorder="1"/>
    <xf numFmtId="165" fontId="48" fillId="33" borderId="1" xfId="112" applyNumberFormat="1" applyFont="1" applyFill="1" applyBorder="1"/>
    <xf numFmtId="0" fontId="48" fillId="33" borderId="1" xfId="111" applyFont="1" applyFill="1" applyBorder="1"/>
    <xf numFmtId="43" fontId="81" fillId="33" borderId="0" xfId="111" applyNumberFormat="1" applyFont="1" applyFill="1" applyAlignment="1">
      <alignment horizontal="center"/>
    </xf>
    <xf numFmtId="43" fontId="81" fillId="33" borderId="0" xfId="111" applyNumberFormat="1" applyFont="1" applyFill="1"/>
    <xf numFmtId="166" fontId="73" fillId="33" borderId="1" xfId="55" applyNumberFormat="1" applyFont="1" applyFill="1" applyBorder="1"/>
    <xf numFmtId="0" fontId="52" fillId="33" borderId="15" xfId="111" applyFont="1" applyFill="1" applyBorder="1" applyAlignment="1">
      <alignment horizontal="center"/>
    </xf>
    <xf numFmtId="0" fontId="70" fillId="0" borderId="1" xfId="111" applyFont="1" applyBorder="1" applyAlignment="1">
      <alignment vertical="center" wrapText="1"/>
    </xf>
    <xf numFmtId="166" fontId="48" fillId="33" borderId="1" xfId="111" applyNumberFormat="1" applyFont="1" applyFill="1" applyBorder="1"/>
    <xf numFmtId="166" fontId="52" fillId="0" borderId="1" xfId="110" applyNumberFormat="1" applyFont="1" applyBorder="1" applyAlignment="1">
      <alignment horizontal="center" vertical="center" wrapText="1"/>
    </xf>
    <xf numFmtId="166" fontId="48" fillId="0" borderId="1" xfId="111" applyNumberFormat="1" applyFont="1" applyBorder="1"/>
    <xf numFmtId="43" fontId="48" fillId="33" borderId="1" xfId="55" applyFont="1" applyFill="1" applyBorder="1"/>
    <xf numFmtId="0" fontId="76" fillId="33" borderId="3" xfId="110" applyFont="1" applyFill="1" applyBorder="1" applyAlignment="1">
      <alignment horizontal="left" vertical="center" wrapText="1"/>
    </xf>
    <xf numFmtId="0" fontId="52" fillId="33" borderId="4" xfId="111" applyFont="1" applyFill="1" applyBorder="1"/>
    <xf numFmtId="0" fontId="52" fillId="33" borderId="1" xfId="111" applyFont="1" applyFill="1" applyBorder="1" applyAlignment="1">
      <alignment vertical="center"/>
    </xf>
    <xf numFmtId="0" fontId="52" fillId="33" borderId="14" xfId="111" applyFont="1" applyFill="1" applyBorder="1"/>
    <xf numFmtId="0" fontId="52" fillId="33" borderId="14" xfId="0" applyFont="1" applyFill="1" applyBorder="1" applyAlignment="1">
      <alignment horizontal="center" vertical="top" wrapText="1"/>
    </xf>
    <xf numFmtId="165" fontId="83" fillId="33" borderId="0" xfId="111" applyNumberFormat="1" applyFont="1" applyFill="1" applyAlignment="1">
      <alignment vertical="center"/>
    </xf>
    <xf numFmtId="0" fontId="52" fillId="0" borderId="1" xfId="110" applyFont="1" applyBorder="1" applyAlignment="1">
      <alignment horizontal="left" vertical="center" wrapText="1"/>
    </xf>
    <xf numFmtId="166" fontId="81" fillId="33" borderId="0" xfId="111" applyNumberFormat="1" applyFont="1" applyFill="1"/>
    <xf numFmtId="0" fontId="52" fillId="33" borderId="1" xfId="0" applyFont="1" applyFill="1" applyBorder="1" applyAlignment="1"/>
    <xf numFmtId="0" fontId="76" fillId="33" borderId="1" xfId="0" applyFont="1" applyFill="1" applyBorder="1" applyAlignment="1">
      <alignment vertical="center" wrapText="1"/>
    </xf>
    <xf numFmtId="166" fontId="76" fillId="0" borderId="1" xfId="113" applyNumberFormat="1" applyFont="1" applyBorder="1" applyAlignment="1">
      <alignment vertical="center"/>
    </xf>
    <xf numFmtId="165" fontId="76" fillId="33" borderId="1" xfId="113" applyNumberFormat="1" applyFont="1" applyFill="1" applyBorder="1"/>
    <xf numFmtId="165" fontId="48" fillId="0" borderId="0" xfId="0" applyNumberFormat="1" applyFont="1" applyAlignment="1"/>
    <xf numFmtId="0" fontId="48" fillId="0" borderId="0" xfId="0" applyFont="1" applyAlignment="1"/>
    <xf numFmtId="0" fontId="70" fillId="33" borderId="3" xfId="0" applyFont="1" applyFill="1" applyBorder="1" applyAlignment="1">
      <alignment vertical="center" wrapText="1"/>
    </xf>
    <xf numFmtId="166" fontId="70" fillId="33" borderId="1" xfId="63" applyNumberFormat="1" applyFont="1" applyFill="1" applyBorder="1" applyAlignment="1">
      <alignment vertical="center"/>
    </xf>
    <xf numFmtId="165" fontId="70" fillId="33" borderId="1" xfId="63" applyNumberFormat="1" applyFont="1" applyFill="1" applyBorder="1" applyAlignment="1">
      <alignment vertical="center"/>
    </xf>
    <xf numFmtId="0" fontId="81" fillId="33" borderId="0" xfId="0" applyFont="1" applyFill="1" applyAlignment="1"/>
    <xf numFmtId="0" fontId="52" fillId="33" borderId="14" xfId="0" applyFont="1" applyFill="1" applyBorder="1" applyAlignment="1"/>
    <xf numFmtId="166" fontId="76" fillId="33" borderId="1" xfId="63" applyNumberFormat="1" applyFont="1" applyFill="1" applyBorder="1"/>
    <xf numFmtId="165" fontId="76" fillId="33" borderId="1" xfId="63" applyNumberFormat="1" applyFont="1" applyFill="1" applyBorder="1"/>
    <xf numFmtId="165" fontId="83" fillId="33" borderId="0" xfId="0" applyNumberFormat="1" applyFont="1" applyFill="1" applyAlignment="1"/>
    <xf numFmtId="0" fontId="83" fillId="33" borderId="0" xfId="0" applyFont="1" applyFill="1" applyAlignment="1"/>
    <xf numFmtId="0" fontId="52" fillId="33" borderId="15" xfId="0" applyFont="1" applyFill="1" applyBorder="1" applyAlignment="1"/>
    <xf numFmtId="0" fontId="48" fillId="0" borderId="0" xfId="0" applyFont="1" applyAlignment="1">
      <alignment horizontal="center" vertical="center" wrapText="1"/>
    </xf>
    <xf numFmtId="0" fontId="48" fillId="33" borderId="2" xfId="0" applyFont="1" applyFill="1" applyBorder="1" applyAlignment="1">
      <alignment horizontal="center" vertical="center" wrapText="1"/>
    </xf>
    <xf numFmtId="0" fontId="48" fillId="33" borderId="3" xfId="0" applyFont="1" applyFill="1" applyBorder="1" applyAlignment="1">
      <alignment horizontal="center" vertical="center" wrapText="1"/>
    </xf>
    <xf numFmtId="43" fontId="73" fillId="33" borderId="1" xfId="55" applyFont="1" applyFill="1" applyBorder="1" applyAlignment="1">
      <alignment horizontal="center" vertical="center" wrapText="1"/>
    </xf>
    <xf numFmtId="0" fontId="73" fillId="33" borderId="1" xfId="0" applyFont="1" applyFill="1" applyBorder="1" applyAlignment="1">
      <alignment horizontal="center" vertical="center" wrapText="1"/>
    </xf>
    <xf numFmtId="165" fontId="48" fillId="0" borderId="1" xfId="191" applyNumberFormat="1" applyFont="1" applyBorder="1" applyAlignment="1">
      <alignment horizontal="center" vertical="center"/>
    </xf>
    <xf numFmtId="165" fontId="48" fillId="0" borderId="1" xfId="191" applyNumberFormat="1" applyFont="1" applyBorder="1" applyAlignment="1">
      <alignment horizontal="right" vertical="top"/>
    </xf>
    <xf numFmtId="165" fontId="48" fillId="33" borderId="1" xfId="191" applyNumberFormat="1" applyFont="1" applyFill="1" applyBorder="1" applyAlignment="1">
      <alignment horizontal="left" vertical="center"/>
    </xf>
    <xf numFmtId="165" fontId="48" fillId="0" borderId="1" xfId="191" applyNumberFormat="1" applyFont="1" applyBorder="1" applyAlignment="1">
      <alignment horizontal="left" vertical="center"/>
    </xf>
    <xf numFmtId="0" fontId="48" fillId="33" borderId="1" xfId="0" applyFont="1" applyFill="1" applyBorder="1" applyAlignment="1">
      <alignment horizontal="center" vertical="top" wrapText="1"/>
    </xf>
    <xf numFmtId="43" fontId="48" fillId="33" borderId="1" xfId="191" applyNumberFormat="1" applyFont="1" applyFill="1" applyBorder="1" applyAlignment="1">
      <alignment horizontal="left" vertical="center" wrapText="1"/>
    </xf>
    <xf numFmtId="0" fontId="52" fillId="0" borderId="1" xfId="110" applyFont="1" applyBorder="1" applyAlignment="1">
      <alignment horizontal="center" vertical="center" wrapText="1"/>
    </xf>
    <xf numFmtId="0" fontId="19" fillId="0" borderId="0" xfId="111"/>
    <xf numFmtId="0" fontId="48" fillId="0" borderId="0" xfId="114" applyFont="1" applyAlignment="1">
      <alignment horizontal="center" vertical="center" wrapText="1"/>
    </xf>
    <xf numFmtId="0" fontId="48" fillId="0" borderId="0" xfId="0" applyFont="1" applyAlignment="1">
      <alignment horizontal="center" vertical="top" wrapText="1"/>
    </xf>
    <xf numFmtId="0" fontId="48" fillId="0" borderId="0" xfId="0" applyFont="1" applyAlignment="1">
      <alignment horizontal="right" vertical="top" wrapText="1"/>
    </xf>
    <xf numFmtId="0" fontId="48" fillId="0" borderId="1" xfId="0" applyFont="1" applyBorder="1" applyAlignment="1">
      <alignment horizontal="center" vertical="center" wrapText="1"/>
    </xf>
    <xf numFmtId="165" fontId="48" fillId="0" borderId="1" xfId="55" applyNumberFormat="1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top" wrapText="1"/>
    </xf>
    <xf numFmtId="0" fontId="48" fillId="33" borderId="1" xfId="0" applyFont="1" applyFill="1" applyBorder="1" applyAlignment="1">
      <alignment horizontal="center" vertical="center" wrapText="1"/>
    </xf>
    <xf numFmtId="0" fontId="52" fillId="33" borderId="14" xfId="110" applyFont="1" applyFill="1" applyBorder="1" applyAlignment="1">
      <alignment horizontal="center" vertical="center" wrapText="1"/>
    </xf>
    <xf numFmtId="0" fontId="52" fillId="33" borderId="4" xfId="110" applyFont="1" applyFill="1" applyBorder="1" applyAlignment="1">
      <alignment horizontal="center" vertical="center" wrapText="1"/>
    </xf>
    <xf numFmtId="0" fontId="52" fillId="33" borderId="15" xfId="110" applyFont="1" applyFill="1" applyBorder="1" applyAlignment="1">
      <alignment horizontal="center" vertical="center" wrapText="1"/>
    </xf>
    <xf numFmtId="0" fontId="52" fillId="33" borderId="14" xfId="111" applyFont="1" applyFill="1" applyBorder="1" applyAlignment="1">
      <alignment horizontal="center"/>
    </xf>
    <xf numFmtId="0" fontId="52" fillId="33" borderId="4" xfId="111" applyFont="1" applyFill="1" applyBorder="1" applyAlignment="1">
      <alignment horizontal="center"/>
    </xf>
    <xf numFmtId="0" fontId="78" fillId="33" borderId="14" xfId="111" applyFont="1" applyFill="1" applyBorder="1" applyAlignment="1">
      <alignment horizontal="center"/>
    </xf>
    <xf numFmtId="0" fontId="78" fillId="33" borderId="15" xfId="111" applyFont="1" applyFill="1" applyBorder="1" applyAlignment="1">
      <alignment horizontal="center"/>
    </xf>
    <xf numFmtId="0" fontId="78" fillId="33" borderId="4" xfId="111" applyFont="1" applyFill="1" applyBorder="1" applyAlignment="1">
      <alignment horizontal="center"/>
    </xf>
    <xf numFmtId="0" fontId="52" fillId="33" borderId="1" xfId="111" applyFont="1" applyFill="1" applyBorder="1" applyAlignment="1">
      <alignment horizontal="center"/>
    </xf>
    <xf numFmtId="0" fontId="52" fillId="33" borderId="15" xfId="111" applyFont="1" applyFill="1" applyBorder="1" applyAlignment="1">
      <alignment horizontal="center"/>
    </xf>
    <xf numFmtId="0" fontId="52" fillId="33" borderId="14" xfId="0" applyFont="1" applyFill="1" applyBorder="1" applyAlignment="1">
      <alignment horizontal="center" vertical="top" wrapText="1"/>
    </xf>
    <xf numFmtId="0" fontId="52" fillId="33" borderId="15" xfId="0" applyFont="1" applyFill="1" applyBorder="1" applyAlignment="1">
      <alignment horizontal="center" vertical="top" wrapText="1"/>
    </xf>
    <xf numFmtId="0" fontId="52" fillId="33" borderId="4" xfId="0" applyFont="1" applyFill="1" applyBorder="1" applyAlignment="1">
      <alignment horizontal="center" vertical="top" wrapText="1"/>
    </xf>
    <xf numFmtId="0" fontId="52" fillId="33" borderId="14" xfId="0" applyFont="1" applyFill="1" applyBorder="1" applyAlignment="1">
      <alignment horizontal="center"/>
    </xf>
    <xf numFmtId="0" fontId="52" fillId="33" borderId="15" xfId="0" applyFont="1" applyFill="1" applyBorder="1" applyAlignment="1">
      <alignment horizontal="center"/>
    </xf>
    <xf numFmtId="0" fontId="52" fillId="33" borderId="4" xfId="0" applyFont="1" applyFill="1" applyBorder="1" applyAlignment="1">
      <alignment horizontal="center"/>
    </xf>
    <xf numFmtId="0" fontId="52" fillId="33" borderId="1" xfId="0" applyFont="1" applyFill="1" applyBorder="1" applyAlignment="1">
      <alignment horizontal="center"/>
    </xf>
  </cellXfs>
  <cellStyles count="215">
    <cellStyle name="20% - Accent1" xfId="1" builtinId="30" customBuiltin="1"/>
    <cellStyle name="20% - Accent1 2" xfId="2" xr:uid="{00000000-0005-0000-0000-000001000000}"/>
    <cellStyle name="20% - Accent1 2 2" xfId="115" xr:uid="{00000000-0005-0000-0000-000002000000}"/>
    <cellStyle name="20% - Accent1 3" xfId="116" xr:uid="{00000000-0005-0000-0000-000003000000}"/>
    <cellStyle name="20% - Accent2" xfId="3" builtinId="34" customBuiltin="1"/>
    <cellStyle name="20% - Accent2 2" xfId="4" xr:uid="{00000000-0005-0000-0000-000005000000}"/>
    <cellStyle name="20% - Accent2 2 2" xfId="117" xr:uid="{00000000-0005-0000-0000-000006000000}"/>
    <cellStyle name="20% - Accent2 3" xfId="118" xr:uid="{00000000-0005-0000-0000-000007000000}"/>
    <cellStyle name="20% - Accent3" xfId="5" builtinId="38" customBuiltin="1"/>
    <cellStyle name="20% - Accent3 2" xfId="6" xr:uid="{00000000-0005-0000-0000-000009000000}"/>
    <cellStyle name="20% - Accent3 2 2" xfId="119" xr:uid="{00000000-0005-0000-0000-00000A000000}"/>
    <cellStyle name="20% - Accent3 3" xfId="120" xr:uid="{00000000-0005-0000-0000-00000B000000}"/>
    <cellStyle name="20% - Accent4" xfId="7" builtinId="42" customBuiltin="1"/>
    <cellStyle name="20% - Accent4 2" xfId="8" xr:uid="{00000000-0005-0000-0000-00000D000000}"/>
    <cellStyle name="20% - Accent4 2 2" xfId="121" xr:uid="{00000000-0005-0000-0000-00000E000000}"/>
    <cellStyle name="20% - Accent4 3" xfId="122" xr:uid="{00000000-0005-0000-0000-00000F000000}"/>
    <cellStyle name="20% - Accent5" xfId="9" builtinId="46" customBuiltin="1"/>
    <cellStyle name="20% - Accent5 2" xfId="10" xr:uid="{00000000-0005-0000-0000-000011000000}"/>
    <cellStyle name="20% - Accent5 2 2" xfId="123" xr:uid="{00000000-0005-0000-0000-000012000000}"/>
    <cellStyle name="20% - Accent5 3" xfId="124" xr:uid="{00000000-0005-0000-0000-000013000000}"/>
    <cellStyle name="20% - Accent6" xfId="11" builtinId="50" customBuiltin="1"/>
    <cellStyle name="20% - Accent6 2" xfId="12" xr:uid="{00000000-0005-0000-0000-000015000000}"/>
    <cellStyle name="20% - Accent6 2 2" xfId="125" xr:uid="{00000000-0005-0000-0000-000016000000}"/>
    <cellStyle name="20% - Accent6 3" xfId="126" xr:uid="{00000000-0005-0000-0000-000017000000}"/>
    <cellStyle name="40% - Accent1" xfId="13" builtinId="31" customBuiltin="1"/>
    <cellStyle name="40% - Accent1 2" xfId="14" xr:uid="{00000000-0005-0000-0000-000019000000}"/>
    <cellStyle name="40% - Accent1 2 2" xfId="127" xr:uid="{00000000-0005-0000-0000-00001A000000}"/>
    <cellStyle name="40% - Accent1 3" xfId="128" xr:uid="{00000000-0005-0000-0000-00001B000000}"/>
    <cellStyle name="40% - Accent2" xfId="15" builtinId="35" customBuiltin="1"/>
    <cellStyle name="40% - Accent2 2" xfId="16" xr:uid="{00000000-0005-0000-0000-00001D000000}"/>
    <cellStyle name="40% - Accent2 2 2" xfId="129" xr:uid="{00000000-0005-0000-0000-00001E000000}"/>
    <cellStyle name="40% - Accent2 3" xfId="130" xr:uid="{00000000-0005-0000-0000-00001F000000}"/>
    <cellStyle name="40% - Accent3" xfId="17" builtinId="39" customBuiltin="1"/>
    <cellStyle name="40% - Accent3 2" xfId="18" xr:uid="{00000000-0005-0000-0000-000021000000}"/>
    <cellStyle name="40% - Accent3 2 2" xfId="131" xr:uid="{00000000-0005-0000-0000-000022000000}"/>
    <cellStyle name="40% - Accent3 3" xfId="132" xr:uid="{00000000-0005-0000-0000-000023000000}"/>
    <cellStyle name="40% - Accent4" xfId="19" builtinId="43" customBuiltin="1"/>
    <cellStyle name="40% - Accent4 2" xfId="20" xr:uid="{00000000-0005-0000-0000-000025000000}"/>
    <cellStyle name="40% - Accent4 2 2" xfId="133" xr:uid="{00000000-0005-0000-0000-000026000000}"/>
    <cellStyle name="40% - Accent4 3" xfId="134" xr:uid="{00000000-0005-0000-0000-000027000000}"/>
    <cellStyle name="40% - Accent5" xfId="21" builtinId="47" customBuiltin="1"/>
    <cellStyle name="40% - Accent5 2" xfId="22" xr:uid="{00000000-0005-0000-0000-000029000000}"/>
    <cellStyle name="40% - Accent5 2 2" xfId="135" xr:uid="{00000000-0005-0000-0000-00002A000000}"/>
    <cellStyle name="40% - Accent5 3" xfId="136" xr:uid="{00000000-0005-0000-0000-00002B000000}"/>
    <cellStyle name="40% - Accent6" xfId="23" builtinId="51" customBuiltin="1"/>
    <cellStyle name="40% - Accent6 2" xfId="24" xr:uid="{00000000-0005-0000-0000-00002D000000}"/>
    <cellStyle name="40% - Accent6 2 2" xfId="137" xr:uid="{00000000-0005-0000-0000-00002E000000}"/>
    <cellStyle name="40% - Accent6 3" xfId="138" xr:uid="{00000000-0005-0000-0000-00002F000000}"/>
    <cellStyle name="60% - Accent1" xfId="25" builtinId="32" customBuiltin="1"/>
    <cellStyle name="60% - Accent1 2" xfId="26" xr:uid="{00000000-0005-0000-0000-000031000000}"/>
    <cellStyle name="60% - Accent1 3" xfId="139" xr:uid="{00000000-0005-0000-0000-000032000000}"/>
    <cellStyle name="60% - Accent2" xfId="27" builtinId="36" customBuiltin="1"/>
    <cellStyle name="60% - Accent2 2" xfId="28" xr:uid="{00000000-0005-0000-0000-000034000000}"/>
    <cellStyle name="60% - Accent2 3" xfId="140" xr:uid="{00000000-0005-0000-0000-000035000000}"/>
    <cellStyle name="60% - Accent3" xfId="29" builtinId="40" customBuiltin="1"/>
    <cellStyle name="60% - Accent3 2" xfId="30" xr:uid="{00000000-0005-0000-0000-000037000000}"/>
    <cellStyle name="60% - Accent3 3" xfId="141" xr:uid="{00000000-0005-0000-0000-000038000000}"/>
    <cellStyle name="60% - Accent4" xfId="31" builtinId="44" customBuiltin="1"/>
    <cellStyle name="60% - Accent4 2" xfId="32" xr:uid="{00000000-0005-0000-0000-00003A000000}"/>
    <cellStyle name="60% - Accent4 3" xfId="142" xr:uid="{00000000-0005-0000-0000-00003B000000}"/>
    <cellStyle name="60% - Accent5" xfId="33" builtinId="48" customBuiltin="1"/>
    <cellStyle name="60% - Accent5 2" xfId="34" xr:uid="{00000000-0005-0000-0000-00003D000000}"/>
    <cellStyle name="60% - Accent5 3" xfId="143" xr:uid="{00000000-0005-0000-0000-00003E000000}"/>
    <cellStyle name="60% - Accent6" xfId="35" builtinId="52" customBuiltin="1"/>
    <cellStyle name="60% - Accent6 2" xfId="36" xr:uid="{00000000-0005-0000-0000-000040000000}"/>
    <cellStyle name="60% - Accent6 3" xfId="144" xr:uid="{00000000-0005-0000-0000-000041000000}"/>
    <cellStyle name="Accent1" xfId="37" builtinId="29" customBuiltin="1"/>
    <cellStyle name="Accent1 2" xfId="38" xr:uid="{00000000-0005-0000-0000-000043000000}"/>
    <cellStyle name="Accent1 3" xfId="145" xr:uid="{00000000-0005-0000-0000-000044000000}"/>
    <cellStyle name="Accent2" xfId="39" builtinId="33" customBuiltin="1"/>
    <cellStyle name="Accent2 2" xfId="40" xr:uid="{00000000-0005-0000-0000-000046000000}"/>
    <cellStyle name="Accent2 3" xfId="146" xr:uid="{00000000-0005-0000-0000-000047000000}"/>
    <cellStyle name="Accent3" xfId="41" builtinId="37" customBuiltin="1"/>
    <cellStyle name="Accent3 2" xfId="42" xr:uid="{00000000-0005-0000-0000-000049000000}"/>
    <cellStyle name="Accent3 3" xfId="147" xr:uid="{00000000-0005-0000-0000-00004A000000}"/>
    <cellStyle name="Accent4" xfId="43" builtinId="41" customBuiltin="1"/>
    <cellStyle name="Accent4 2" xfId="44" xr:uid="{00000000-0005-0000-0000-00004C000000}"/>
    <cellStyle name="Accent4 3" xfId="149" xr:uid="{00000000-0005-0000-0000-00004D000000}"/>
    <cellStyle name="Accent5" xfId="45" builtinId="45" customBuiltin="1"/>
    <cellStyle name="Accent5 2" xfId="46" xr:uid="{00000000-0005-0000-0000-00004F000000}"/>
    <cellStyle name="Accent5 3" xfId="150" xr:uid="{00000000-0005-0000-0000-000050000000}"/>
    <cellStyle name="Accent6" xfId="47" builtinId="49" customBuiltin="1"/>
    <cellStyle name="Accent6 2" xfId="48" xr:uid="{00000000-0005-0000-0000-000052000000}"/>
    <cellStyle name="Accent6 3" xfId="151" xr:uid="{00000000-0005-0000-0000-000053000000}"/>
    <cellStyle name="Bad" xfId="49" builtinId="27" customBuiltin="1"/>
    <cellStyle name="Bad 2" xfId="50" xr:uid="{00000000-0005-0000-0000-000055000000}"/>
    <cellStyle name="Bad 3" xfId="152" xr:uid="{00000000-0005-0000-0000-000056000000}"/>
    <cellStyle name="Calculation" xfId="51" builtinId="22" customBuiltin="1"/>
    <cellStyle name="Calculation 2" xfId="52" xr:uid="{00000000-0005-0000-0000-000058000000}"/>
    <cellStyle name="Calculation 3" xfId="153" xr:uid="{00000000-0005-0000-0000-000059000000}"/>
    <cellStyle name="Check Cell" xfId="53" builtinId="23" customBuiltin="1"/>
    <cellStyle name="Check Cell 2" xfId="54" xr:uid="{00000000-0005-0000-0000-00005B000000}"/>
    <cellStyle name="Check Cell 3" xfId="154" xr:uid="{00000000-0005-0000-0000-00005C000000}"/>
    <cellStyle name="Comma" xfId="55" builtinId="3"/>
    <cellStyle name="Comma 10" xfId="155" xr:uid="{00000000-0005-0000-0000-00005E000000}"/>
    <cellStyle name="Comma 11" xfId="56" xr:uid="{00000000-0005-0000-0000-00005F000000}"/>
    <cellStyle name="Comma 11 2" xfId="156" xr:uid="{00000000-0005-0000-0000-000060000000}"/>
    <cellStyle name="Comma 15" xfId="57" xr:uid="{00000000-0005-0000-0000-000061000000}"/>
    <cellStyle name="Comma 19" xfId="112" xr:uid="{00000000-0005-0000-0000-000062000000}"/>
    <cellStyle name="Comma 2" xfId="58" xr:uid="{00000000-0005-0000-0000-000063000000}"/>
    <cellStyle name="Comma 2 2" xfId="59" xr:uid="{00000000-0005-0000-0000-000064000000}"/>
    <cellStyle name="Comma 2 2 2" xfId="60" xr:uid="{00000000-0005-0000-0000-000065000000}"/>
    <cellStyle name="Comma 2 2 2 2" xfId="159" xr:uid="{00000000-0005-0000-0000-000066000000}"/>
    <cellStyle name="Comma 2 2 2 3" xfId="61" xr:uid="{00000000-0005-0000-0000-000067000000}"/>
    <cellStyle name="Comma 2 2 3" xfId="160" xr:uid="{00000000-0005-0000-0000-000068000000}"/>
    <cellStyle name="Comma 2 2 4" xfId="158" xr:uid="{00000000-0005-0000-0000-000069000000}"/>
    <cellStyle name="Comma 2 3" xfId="62" xr:uid="{00000000-0005-0000-0000-00006A000000}"/>
    <cellStyle name="Comma 2 3 2" xfId="148" xr:uid="{00000000-0005-0000-0000-00006B000000}"/>
    <cellStyle name="Comma 2 4" xfId="161" xr:uid="{00000000-0005-0000-0000-00006C000000}"/>
    <cellStyle name="Comma 2 5" xfId="63" xr:uid="{00000000-0005-0000-0000-00006D000000}"/>
    <cellStyle name="Comma 2 6" xfId="157" xr:uid="{00000000-0005-0000-0000-00006E000000}"/>
    <cellStyle name="Comma 3" xfId="64" xr:uid="{00000000-0005-0000-0000-00006F000000}"/>
    <cellStyle name="Comma 3 2" xfId="163" xr:uid="{00000000-0005-0000-0000-000070000000}"/>
    <cellStyle name="Comma 3 2 2" xfId="164" xr:uid="{00000000-0005-0000-0000-000071000000}"/>
    <cellStyle name="Comma 3 3" xfId="165" xr:uid="{00000000-0005-0000-0000-000072000000}"/>
    <cellStyle name="Comma 3 4" xfId="166" xr:uid="{00000000-0005-0000-0000-000073000000}"/>
    <cellStyle name="Comma 3 5" xfId="162" xr:uid="{00000000-0005-0000-0000-000074000000}"/>
    <cellStyle name="Comma 4" xfId="167" xr:uid="{00000000-0005-0000-0000-000075000000}"/>
    <cellStyle name="Comma 4 2" xfId="65" xr:uid="{00000000-0005-0000-0000-000076000000}"/>
    <cellStyle name="Comma 4 2 2" xfId="169" xr:uid="{00000000-0005-0000-0000-000077000000}"/>
    <cellStyle name="Comma 4 2 3" xfId="168" xr:uid="{00000000-0005-0000-0000-000078000000}"/>
    <cellStyle name="Comma 4 3" xfId="170" xr:uid="{00000000-0005-0000-0000-000079000000}"/>
    <cellStyle name="Comma 4 4" xfId="171" xr:uid="{00000000-0005-0000-0000-00007A000000}"/>
    <cellStyle name="Comma 5" xfId="66" xr:uid="{00000000-0005-0000-0000-00007B000000}"/>
    <cellStyle name="Comma 5 2" xfId="173" xr:uid="{00000000-0005-0000-0000-00007C000000}"/>
    <cellStyle name="Comma 5 3" xfId="174" xr:uid="{00000000-0005-0000-0000-00007D000000}"/>
    <cellStyle name="Comma 5 4" xfId="172" xr:uid="{00000000-0005-0000-0000-00007E000000}"/>
    <cellStyle name="Comma 6" xfId="175" xr:uid="{00000000-0005-0000-0000-00007F000000}"/>
    <cellStyle name="Comma 6 2" xfId="176" xr:uid="{00000000-0005-0000-0000-000080000000}"/>
    <cellStyle name="Comma 7" xfId="177" xr:uid="{00000000-0005-0000-0000-000081000000}"/>
    <cellStyle name="Comma 8" xfId="178" xr:uid="{00000000-0005-0000-0000-000082000000}"/>
    <cellStyle name="Comma 9" xfId="179" xr:uid="{00000000-0005-0000-0000-000083000000}"/>
    <cellStyle name="Explanatory Text" xfId="67" builtinId="53" customBuiltin="1"/>
    <cellStyle name="Explanatory Text 2" xfId="68" xr:uid="{00000000-0005-0000-0000-000085000000}"/>
    <cellStyle name="Explanatory Text 3" xfId="180" xr:uid="{00000000-0005-0000-0000-000086000000}"/>
    <cellStyle name="Good" xfId="69" builtinId="26" customBuiltin="1"/>
    <cellStyle name="Good 2" xfId="70" xr:uid="{00000000-0005-0000-0000-000088000000}"/>
    <cellStyle name="Good 3" xfId="181" xr:uid="{00000000-0005-0000-0000-000089000000}"/>
    <cellStyle name="Heading 1" xfId="71" builtinId="16" customBuiltin="1"/>
    <cellStyle name="Heading 1 2" xfId="72" xr:uid="{00000000-0005-0000-0000-00008B000000}"/>
    <cellStyle name="Heading 1 3" xfId="182" xr:uid="{00000000-0005-0000-0000-00008C000000}"/>
    <cellStyle name="Heading 2" xfId="73" builtinId="17" customBuiltin="1"/>
    <cellStyle name="Heading 2 2" xfId="74" xr:uid="{00000000-0005-0000-0000-00008E000000}"/>
    <cellStyle name="Heading 2 3" xfId="183" xr:uid="{00000000-0005-0000-0000-00008F000000}"/>
    <cellStyle name="Heading 3" xfId="75" builtinId="18" customBuiltin="1"/>
    <cellStyle name="Heading 3 2" xfId="76" xr:uid="{00000000-0005-0000-0000-000091000000}"/>
    <cellStyle name="Heading 3 3" xfId="184" xr:uid="{00000000-0005-0000-0000-000092000000}"/>
    <cellStyle name="Heading 4" xfId="77" builtinId="19" customBuiltin="1"/>
    <cellStyle name="Heading 4 2" xfId="78" xr:uid="{00000000-0005-0000-0000-000094000000}"/>
    <cellStyle name="Heading 4 3" xfId="185" xr:uid="{00000000-0005-0000-0000-000095000000}"/>
    <cellStyle name="Input" xfId="79" builtinId="20" customBuiltin="1"/>
    <cellStyle name="Input 2" xfId="80" xr:uid="{00000000-0005-0000-0000-000097000000}"/>
    <cellStyle name="Input 3" xfId="186" xr:uid="{00000000-0005-0000-0000-000098000000}"/>
    <cellStyle name="Linked Cell" xfId="81" builtinId="24" customBuiltin="1"/>
    <cellStyle name="Linked Cell 2" xfId="82" xr:uid="{00000000-0005-0000-0000-00009A000000}"/>
    <cellStyle name="Linked Cell 3" xfId="187" xr:uid="{00000000-0005-0000-0000-00009B000000}"/>
    <cellStyle name="Neutral" xfId="83" builtinId="28" customBuiltin="1"/>
    <cellStyle name="Neutral 2" xfId="84" xr:uid="{00000000-0005-0000-0000-00009D000000}"/>
    <cellStyle name="Neutral 2 2" xfId="188" xr:uid="{00000000-0005-0000-0000-00009E000000}"/>
    <cellStyle name="Neutral 3" xfId="189" xr:uid="{00000000-0005-0000-0000-00009F000000}"/>
    <cellStyle name="Normal" xfId="0" builtinId="0" customBuiltin="1"/>
    <cellStyle name="Normal 10 2" xfId="190" xr:uid="{00000000-0005-0000-0000-0000A1000000}"/>
    <cellStyle name="Normal 10 3" xfId="111" xr:uid="{00000000-0005-0000-0000-0000A2000000}"/>
    <cellStyle name="Normal 11 2" xfId="85" xr:uid="{00000000-0005-0000-0000-0000A3000000}"/>
    <cellStyle name="Normal 12" xfId="191" xr:uid="{00000000-0005-0000-0000-0000A4000000}"/>
    <cellStyle name="Normal 15 2 2" xfId="192" xr:uid="{00000000-0005-0000-0000-0000A5000000}"/>
    <cellStyle name="Normal 17" xfId="106" xr:uid="{00000000-0005-0000-0000-0000A6000000}"/>
    <cellStyle name="Normal 2" xfId="86" xr:uid="{00000000-0005-0000-0000-0000A7000000}"/>
    <cellStyle name="Normal 2 2" xfId="87" xr:uid="{00000000-0005-0000-0000-0000A8000000}"/>
    <cellStyle name="Normal 2 2 2" xfId="193" xr:uid="{00000000-0005-0000-0000-0000A9000000}"/>
    <cellStyle name="Normal 2 2 3" xfId="88" xr:uid="{00000000-0005-0000-0000-0000AA000000}"/>
    <cellStyle name="Normal 2 3" xfId="194" xr:uid="{00000000-0005-0000-0000-0000AB000000}"/>
    <cellStyle name="Normal 2 4" xfId="110" xr:uid="{00000000-0005-0000-0000-0000AC000000}"/>
    <cellStyle name="Normal 3" xfId="89" xr:uid="{00000000-0005-0000-0000-0000AD000000}"/>
    <cellStyle name="Normal 3 2" xfId="195" xr:uid="{00000000-0005-0000-0000-0000AE000000}"/>
    <cellStyle name="Normal 4" xfId="196" xr:uid="{00000000-0005-0000-0000-0000AF000000}"/>
    <cellStyle name="Normal 4 2" xfId="197" xr:uid="{00000000-0005-0000-0000-0000B0000000}"/>
    <cellStyle name="Normal 4 3" xfId="198" xr:uid="{00000000-0005-0000-0000-0000B1000000}"/>
    <cellStyle name="Normal 5" xfId="90" xr:uid="{00000000-0005-0000-0000-0000B2000000}"/>
    <cellStyle name="Normal 5 2" xfId="91" xr:uid="{00000000-0005-0000-0000-0000B3000000}"/>
    <cellStyle name="Normal 5 2 2" xfId="92" xr:uid="{00000000-0005-0000-0000-0000B4000000}"/>
    <cellStyle name="Normal 5 2 3" xfId="200" xr:uid="{00000000-0005-0000-0000-0000B5000000}"/>
    <cellStyle name="Normal 5 2 9" xfId="201" xr:uid="{00000000-0005-0000-0000-0000B6000000}"/>
    <cellStyle name="Normal 5 3" xfId="199" xr:uid="{00000000-0005-0000-0000-0000B7000000}"/>
    <cellStyle name="Normal 5 3 7" xfId="108" xr:uid="{00000000-0005-0000-0000-0000B8000000}"/>
    <cellStyle name="Normal 6" xfId="202" xr:uid="{00000000-0005-0000-0000-0000B9000000}"/>
    <cellStyle name="Normal 6 2" xfId="203" xr:uid="{00000000-0005-0000-0000-0000BA000000}"/>
    <cellStyle name="Normal 7" xfId="204" xr:uid="{00000000-0005-0000-0000-0000BB000000}"/>
    <cellStyle name="Normal 7 2" xfId="93" xr:uid="{00000000-0005-0000-0000-0000BC000000}"/>
    <cellStyle name="Normal 8" xfId="94" xr:uid="{00000000-0005-0000-0000-0000BD000000}"/>
    <cellStyle name="Normal 9" xfId="114" xr:uid="{00000000-0005-0000-0000-0000BE000000}"/>
    <cellStyle name="Note" xfId="95" builtinId="10" customBuiltin="1"/>
    <cellStyle name="Note 2" xfId="96" xr:uid="{00000000-0005-0000-0000-0000C0000000}"/>
    <cellStyle name="Note 2 2" xfId="205" xr:uid="{00000000-0005-0000-0000-0000C1000000}"/>
    <cellStyle name="Note 3" xfId="206" xr:uid="{00000000-0005-0000-0000-0000C2000000}"/>
    <cellStyle name="Output" xfId="97" builtinId="21" customBuiltin="1"/>
    <cellStyle name="Output 2" xfId="98" xr:uid="{00000000-0005-0000-0000-0000C4000000}"/>
    <cellStyle name="Output 3" xfId="207" xr:uid="{00000000-0005-0000-0000-0000C5000000}"/>
    <cellStyle name="Percent 2" xfId="208" xr:uid="{00000000-0005-0000-0000-0000C6000000}"/>
    <cellStyle name="Percent 2 2" xfId="209" xr:uid="{00000000-0005-0000-0000-0000C7000000}"/>
    <cellStyle name="SN_241" xfId="99" xr:uid="{00000000-0005-0000-0000-0000C8000000}"/>
    <cellStyle name="SN_b" xfId="109" xr:uid="{00000000-0005-0000-0000-0000C9000000}"/>
    <cellStyle name="SN10_bold" xfId="107" xr:uid="{00000000-0005-0000-0000-0000CA000000}"/>
    <cellStyle name="Style 1 2" xfId="210" xr:uid="{00000000-0005-0000-0000-0000CB000000}"/>
    <cellStyle name="Title" xfId="100" builtinId="15" customBuiltin="1"/>
    <cellStyle name="Title 2" xfId="101" xr:uid="{00000000-0005-0000-0000-0000CD000000}"/>
    <cellStyle name="Title 3" xfId="211" xr:uid="{00000000-0005-0000-0000-0000CE000000}"/>
    <cellStyle name="Total" xfId="102" builtinId="25" customBuiltin="1"/>
    <cellStyle name="Total 2" xfId="103" xr:uid="{00000000-0005-0000-0000-0000D0000000}"/>
    <cellStyle name="Total 3" xfId="212" xr:uid="{00000000-0005-0000-0000-0000D1000000}"/>
    <cellStyle name="Warning Text" xfId="104" builtinId="11" customBuiltin="1"/>
    <cellStyle name="Warning Text 2" xfId="105" xr:uid="{00000000-0005-0000-0000-0000D3000000}"/>
    <cellStyle name="Warning Text 3" xfId="213" xr:uid="{00000000-0005-0000-0000-0000D4000000}"/>
    <cellStyle name="Обычный 4" xfId="214" xr:uid="{00000000-0005-0000-0000-0000D5000000}"/>
    <cellStyle name="Финансовый 16" xfId="113" xr:uid="{00000000-0005-0000-0000-0000D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opLeftCell="A4" workbookViewId="0">
      <selection activeCell="E15" sqref="E15"/>
    </sheetView>
  </sheetViews>
  <sheetFormatPr defaultRowHeight="16.5"/>
  <cols>
    <col min="1" max="1" width="75.85546875" style="7" customWidth="1"/>
    <col min="2" max="2" width="43.5703125" style="7" customWidth="1"/>
    <col min="3" max="3" width="17.5703125" style="7" bestFit="1" customWidth="1"/>
    <col min="4" max="6" width="9.140625" style="7"/>
    <col min="7" max="7" width="16.7109375" style="7" bestFit="1" customWidth="1"/>
    <col min="8" max="16384" width="9.140625" style="7"/>
  </cols>
  <sheetData>
    <row r="1" spans="1:3">
      <c r="A1" s="1"/>
      <c r="B1" s="6" t="s">
        <v>406</v>
      </c>
      <c r="C1" s="1"/>
    </row>
    <row r="2" spans="1:3">
      <c r="A2" s="1"/>
      <c r="B2" s="8" t="s">
        <v>409</v>
      </c>
      <c r="C2" s="9"/>
    </row>
    <row r="3" spans="1:3">
      <c r="A3" s="1"/>
      <c r="B3" s="8" t="s">
        <v>21</v>
      </c>
      <c r="C3" s="1"/>
    </row>
    <row r="4" spans="1:3">
      <c r="A4" s="1"/>
      <c r="B4" s="8"/>
      <c r="C4" s="1"/>
    </row>
    <row r="5" spans="1:3" ht="105" customHeight="1">
      <c r="A5" s="185" t="s">
        <v>415</v>
      </c>
      <c r="B5" s="185"/>
      <c r="C5" s="10"/>
    </row>
    <row r="6" spans="1:3">
      <c r="A6" s="11"/>
      <c r="B6" s="12" t="s">
        <v>7</v>
      </c>
      <c r="C6" s="1"/>
    </row>
    <row r="7" spans="1:3" ht="66">
      <c r="A7" s="5" t="s">
        <v>410</v>
      </c>
      <c r="B7" s="13" t="s">
        <v>13</v>
      </c>
    </row>
    <row r="8" spans="1:3">
      <c r="A8" s="4" t="s">
        <v>411</v>
      </c>
      <c r="B8" s="177">
        <f>+B10</f>
        <v>0</v>
      </c>
    </row>
    <row r="9" spans="1:3">
      <c r="A9" s="3" t="s">
        <v>412</v>
      </c>
      <c r="B9" s="178"/>
    </row>
    <row r="10" spans="1:3">
      <c r="A10" s="3" t="s">
        <v>413</v>
      </c>
      <c r="B10" s="177">
        <f>+B11</f>
        <v>0</v>
      </c>
    </row>
    <row r="11" spans="1:3">
      <c r="A11" s="3" t="s">
        <v>414</v>
      </c>
      <c r="B11" s="179">
        <f>+B13+B14</f>
        <v>0</v>
      </c>
    </row>
    <row r="12" spans="1:3">
      <c r="A12" s="3" t="s">
        <v>412</v>
      </c>
      <c r="B12" s="179"/>
    </row>
    <row r="13" spans="1:3" ht="33">
      <c r="A13" s="7" t="s">
        <v>427</v>
      </c>
      <c r="B13" s="182">
        <v>2521784</v>
      </c>
    </row>
    <row r="14" spans="1:3" ht="33">
      <c r="A14" s="3" t="s">
        <v>416</v>
      </c>
      <c r="B14" s="180">
        <f>+B15+B16+B17</f>
        <v>-2521784</v>
      </c>
    </row>
    <row r="15" spans="1:3">
      <c r="A15" s="3" t="s">
        <v>417</v>
      </c>
      <c r="B15" s="180">
        <v>255.70000000018626</v>
      </c>
    </row>
    <row r="16" spans="1:3">
      <c r="A16" s="2" t="s">
        <v>418</v>
      </c>
      <c r="B16" s="180">
        <v>200000</v>
      </c>
    </row>
    <row r="17" spans="1:2">
      <c r="A17" s="3" t="s">
        <v>419</v>
      </c>
      <c r="B17" s="180">
        <v>-2722039.7</v>
      </c>
    </row>
  </sheetData>
  <mergeCells count="1">
    <mergeCell ref="A5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02"/>
  <sheetViews>
    <sheetView topLeftCell="A175" zoomScaleNormal="100" workbookViewId="0">
      <selection activeCell="I182" sqref="I182"/>
    </sheetView>
  </sheetViews>
  <sheetFormatPr defaultColWidth="37.140625" defaultRowHeight="16.5"/>
  <cols>
    <col min="1" max="1" width="9.85546875" style="172" customWidth="1"/>
    <col min="2" max="2" width="14.28515625" style="172" customWidth="1"/>
    <col min="3" max="3" width="78.5703125" style="7" customWidth="1"/>
    <col min="4" max="4" width="30.5703125" style="44" customWidth="1"/>
    <col min="5" max="8" width="9.140625" style="7" customWidth="1"/>
    <col min="9" max="16384" width="37.140625" style="7"/>
  </cols>
  <sheetData>
    <row r="1" spans="1:6">
      <c r="D1" s="14" t="s">
        <v>408</v>
      </c>
    </row>
    <row r="2" spans="1:6">
      <c r="D2" s="15" t="s">
        <v>407</v>
      </c>
    </row>
    <row r="3" spans="1:6">
      <c r="D3" s="15" t="s">
        <v>21</v>
      </c>
    </row>
    <row r="4" spans="1:6">
      <c r="D4" s="15"/>
    </row>
    <row r="5" spans="1:6" ht="53.25" customHeight="1">
      <c r="A5" s="186" t="s">
        <v>429</v>
      </c>
      <c r="B5" s="186"/>
      <c r="C5" s="186"/>
      <c r="D5" s="186"/>
    </row>
    <row r="7" spans="1:6">
      <c r="C7" s="187" t="s">
        <v>7</v>
      </c>
      <c r="D7" s="187"/>
    </row>
    <row r="8" spans="1:6" s="19" customFormat="1" ht="27" customHeight="1">
      <c r="A8" s="188" t="s">
        <v>8</v>
      </c>
      <c r="B8" s="188"/>
      <c r="C8" s="188" t="s">
        <v>11</v>
      </c>
      <c r="D8" s="189" t="s">
        <v>13</v>
      </c>
    </row>
    <row r="9" spans="1:6" s="19" customFormat="1" ht="74.25" customHeight="1">
      <c r="A9" s="18" t="s">
        <v>9</v>
      </c>
      <c r="B9" s="18" t="s">
        <v>10</v>
      </c>
      <c r="C9" s="188"/>
      <c r="D9" s="189"/>
      <c r="F9" s="20"/>
    </row>
    <row r="10" spans="1:6" ht="33.75" customHeight="1">
      <c r="A10" s="173"/>
      <c r="B10" s="174"/>
      <c r="C10" s="21" t="s">
        <v>12</v>
      </c>
      <c r="D10" s="22">
        <f>+D74+D264+D88+D11+D276+D290</f>
        <v>0</v>
      </c>
    </row>
    <row r="11" spans="1:6">
      <c r="A11" s="18"/>
      <c r="B11" s="18"/>
      <c r="C11" s="24" t="s">
        <v>172</v>
      </c>
      <c r="D11" s="25">
        <f>D13+D25</f>
        <v>224125.4</v>
      </c>
    </row>
    <row r="12" spans="1:6">
      <c r="A12" s="18"/>
      <c r="B12" s="18"/>
      <c r="C12" s="24"/>
      <c r="D12" s="23"/>
    </row>
    <row r="13" spans="1:6">
      <c r="A13" s="18" t="s">
        <v>173</v>
      </c>
      <c r="B13" s="18"/>
      <c r="C13" s="26" t="s">
        <v>0</v>
      </c>
      <c r="D13" s="27">
        <f>D20</f>
        <v>16755.3</v>
      </c>
    </row>
    <row r="14" spans="1:6">
      <c r="A14" s="18"/>
      <c r="B14" s="18"/>
      <c r="C14" s="23" t="s">
        <v>174</v>
      </c>
      <c r="D14" s="23"/>
    </row>
    <row r="15" spans="1:6">
      <c r="A15" s="18"/>
      <c r="B15" s="18"/>
      <c r="C15" s="26" t="s">
        <v>1</v>
      </c>
      <c r="D15" s="23"/>
    </row>
    <row r="16" spans="1:6">
      <c r="A16" s="18"/>
      <c r="B16" s="18"/>
      <c r="C16" s="23" t="s">
        <v>175</v>
      </c>
      <c r="D16" s="23"/>
    </row>
    <row r="17" spans="1:4">
      <c r="A17" s="18"/>
      <c r="B17" s="18"/>
      <c r="C17" s="26" t="s">
        <v>2</v>
      </c>
      <c r="D17" s="23"/>
    </row>
    <row r="18" spans="1:4" ht="33">
      <c r="A18" s="18"/>
      <c r="B18" s="18"/>
      <c r="C18" s="23" t="s">
        <v>176</v>
      </c>
      <c r="D18" s="23"/>
    </row>
    <row r="19" spans="1:4">
      <c r="A19" s="190" t="s">
        <v>36</v>
      </c>
      <c r="B19" s="190"/>
      <c r="C19" s="190"/>
      <c r="D19" s="190"/>
    </row>
    <row r="20" spans="1:4" ht="33">
      <c r="A20" s="18"/>
      <c r="B20" s="18">
        <v>11011</v>
      </c>
      <c r="C20" s="23" t="s">
        <v>177</v>
      </c>
      <c r="D20" s="28">
        <v>16755.3</v>
      </c>
    </row>
    <row r="21" spans="1:4">
      <c r="A21" s="18"/>
      <c r="B21" s="18"/>
      <c r="C21" s="26" t="s">
        <v>4</v>
      </c>
      <c r="D21" s="17"/>
    </row>
    <row r="22" spans="1:4" ht="33">
      <c r="A22" s="18"/>
      <c r="B22" s="18"/>
      <c r="C22" s="23" t="s">
        <v>178</v>
      </c>
      <c r="D22" s="17"/>
    </row>
    <row r="23" spans="1:4">
      <c r="A23" s="18"/>
      <c r="B23" s="18"/>
      <c r="C23" s="26" t="s">
        <v>5</v>
      </c>
      <c r="D23" s="17"/>
    </row>
    <row r="24" spans="1:4">
      <c r="A24" s="18"/>
      <c r="B24" s="18"/>
      <c r="C24" s="23" t="s">
        <v>6</v>
      </c>
      <c r="D24" s="17"/>
    </row>
    <row r="25" spans="1:4">
      <c r="A25" s="18" t="s">
        <v>179</v>
      </c>
      <c r="B25" s="18"/>
      <c r="C25" s="26" t="s">
        <v>0</v>
      </c>
      <c r="D25" s="27">
        <f>D32+D38+D44+D50+D56+D62+D68</f>
        <v>207370.1</v>
      </c>
    </row>
    <row r="26" spans="1:4">
      <c r="A26" s="18"/>
      <c r="B26" s="18"/>
      <c r="C26" s="23" t="s">
        <v>180</v>
      </c>
      <c r="D26" s="23"/>
    </row>
    <row r="27" spans="1:4">
      <c r="A27" s="18"/>
      <c r="B27" s="18"/>
      <c r="C27" s="26" t="s">
        <v>1</v>
      </c>
      <c r="D27" s="23"/>
    </row>
    <row r="28" spans="1:4" ht="33">
      <c r="A28" s="18"/>
      <c r="B28" s="18"/>
      <c r="C28" s="23" t="s">
        <v>181</v>
      </c>
      <c r="D28" s="23"/>
    </row>
    <row r="29" spans="1:4">
      <c r="A29" s="18"/>
      <c r="B29" s="18"/>
      <c r="C29" s="26" t="s">
        <v>2</v>
      </c>
      <c r="D29" s="23"/>
    </row>
    <row r="30" spans="1:4" ht="33">
      <c r="A30" s="18"/>
      <c r="B30" s="18"/>
      <c r="C30" s="23" t="s">
        <v>182</v>
      </c>
      <c r="D30" s="23"/>
    </row>
    <row r="31" spans="1:4">
      <c r="A31" s="190" t="s">
        <v>36</v>
      </c>
      <c r="B31" s="190"/>
      <c r="C31" s="190"/>
      <c r="D31" s="190"/>
    </row>
    <row r="32" spans="1:4">
      <c r="A32" s="18"/>
      <c r="B32" s="18" t="s">
        <v>14</v>
      </c>
      <c r="C32" s="26" t="s">
        <v>3</v>
      </c>
      <c r="D32" s="27">
        <v>-159955.29999999999</v>
      </c>
    </row>
    <row r="33" spans="1:4">
      <c r="A33" s="18"/>
      <c r="B33" s="18"/>
      <c r="C33" s="23" t="s">
        <v>183</v>
      </c>
      <c r="D33" s="23"/>
    </row>
    <row r="34" spans="1:4">
      <c r="A34" s="18"/>
      <c r="B34" s="18"/>
      <c r="C34" s="26" t="s">
        <v>4</v>
      </c>
      <c r="D34" s="23"/>
    </row>
    <row r="35" spans="1:4" ht="49.5">
      <c r="A35" s="18"/>
      <c r="B35" s="18"/>
      <c r="C35" s="23" t="s">
        <v>184</v>
      </c>
      <c r="D35" s="23"/>
    </row>
    <row r="36" spans="1:4">
      <c r="A36" s="18"/>
      <c r="B36" s="18"/>
      <c r="C36" s="26" t="s">
        <v>5</v>
      </c>
      <c r="D36" s="23"/>
    </row>
    <row r="37" spans="1:4">
      <c r="A37" s="18"/>
      <c r="B37" s="18"/>
      <c r="C37" s="23" t="s">
        <v>6</v>
      </c>
      <c r="D37" s="23"/>
    </row>
    <row r="38" spans="1:4">
      <c r="A38" s="49"/>
      <c r="B38" s="18">
        <v>11017</v>
      </c>
      <c r="C38" s="26" t="s">
        <v>3</v>
      </c>
      <c r="D38" s="27">
        <v>15200</v>
      </c>
    </row>
    <row r="39" spans="1:4" ht="33">
      <c r="A39" s="49"/>
      <c r="B39" s="18"/>
      <c r="C39" s="23" t="s">
        <v>185</v>
      </c>
      <c r="D39" s="23"/>
    </row>
    <row r="40" spans="1:4">
      <c r="A40" s="49"/>
      <c r="B40" s="18"/>
      <c r="C40" s="26" t="s">
        <v>4</v>
      </c>
      <c r="D40" s="23"/>
    </row>
    <row r="41" spans="1:4" ht="33">
      <c r="A41" s="18"/>
      <c r="B41" s="18"/>
      <c r="C41" s="23" t="s">
        <v>186</v>
      </c>
      <c r="D41" s="23"/>
    </row>
    <row r="42" spans="1:4">
      <c r="A42" s="18"/>
      <c r="B42" s="18"/>
      <c r="C42" s="26" t="s">
        <v>5</v>
      </c>
      <c r="D42" s="23"/>
    </row>
    <row r="43" spans="1:4">
      <c r="A43" s="18"/>
      <c r="B43" s="18"/>
      <c r="C43" s="23" t="s">
        <v>6</v>
      </c>
      <c r="D43" s="23"/>
    </row>
    <row r="44" spans="1:4">
      <c r="A44" s="18"/>
      <c r="B44" s="18" t="s">
        <v>187</v>
      </c>
      <c r="C44" s="26" t="s">
        <v>3</v>
      </c>
      <c r="D44" s="27">
        <v>224125.4</v>
      </c>
    </row>
    <row r="45" spans="1:4">
      <c r="A45" s="18"/>
      <c r="B45" s="18"/>
      <c r="C45" s="23" t="s">
        <v>188</v>
      </c>
      <c r="D45" s="23"/>
    </row>
    <row r="46" spans="1:4">
      <c r="A46" s="18"/>
      <c r="B46" s="18"/>
      <c r="C46" s="26" t="s">
        <v>4</v>
      </c>
      <c r="D46" s="23"/>
    </row>
    <row r="47" spans="1:4" ht="33">
      <c r="A47" s="175"/>
      <c r="B47" s="18"/>
      <c r="C47" s="23" t="s">
        <v>189</v>
      </c>
      <c r="D47" s="23"/>
    </row>
    <row r="48" spans="1:4">
      <c r="A48" s="176"/>
      <c r="B48" s="18"/>
      <c r="C48" s="26" t="s">
        <v>5</v>
      </c>
      <c r="D48" s="23"/>
    </row>
    <row r="49" spans="1:4">
      <c r="A49" s="176"/>
      <c r="B49" s="18"/>
      <c r="C49" s="23" t="s">
        <v>6</v>
      </c>
      <c r="D49" s="23"/>
    </row>
    <row r="50" spans="1:4">
      <c r="A50" s="176"/>
      <c r="B50" s="18" t="s">
        <v>190</v>
      </c>
      <c r="C50" s="26" t="s">
        <v>3</v>
      </c>
      <c r="D50" s="27">
        <v>55000</v>
      </c>
    </row>
    <row r="51" spans="1:4" ht="33">
      <c r="A51" s="176"/>
      <c r="B51" s="18"/>
      <c r="C51" s="23" t="s">
        <v>191</v>
      </c>
      <c r="D51" s="23"/>
    </row>
    <row r="52" spans="1:4">
      <c r="A52" s="176"/>
      <c r="B52" s="18"/>
      <c r="C52" s="26" t="s">
        <v>4</v>
      </c>
      <c r="D52" s="23"/>
    </row>
    <row r="53" spans="1:4" ht="33">
      <c r="A53" s="18"/>
      <c r="B53" s="18"/>
      <c r="C53" s="23" t="s">
        <v>192</v>
      </c>
      <c r="D53" s="23"/>
    </row>
    <row r="54" spans="1:4">
      <c r="A54" s="18"/>
      <c r="B54" s="18"/>
      <c r="C54" s="26" t="s">
        <v>5</v>
      </c>
      <c r="D54" s="23"/>
    </row>
    <row r="55" spans="1:4" ht="33">
      <c r="A55" s="18"/>
      <c r="B55" s="18"/>
      <c r="C55" s="23" t="s">
        <v>193</v>
      </c>
      <c r="D55" s="23"/>
    </row>
    <row r="56" spans="1:4">
      <c r="A56" s="18"/>
      <c r="B56" s="18">
        <v>31005</v>
      </c>
      <c r="C56" s="26" t="s">
        <v>3</v>
      </c>
      <c r="D56" s="27">
        <v>5000</v>
      </c>
    </row>
    <row r="57" spans="1:4" ht="33">
      <c r="A57" s="18"/>
      <c r="B57" s="18"/>
      <c r="C57" s="23" t="s">
        <v>194</v>
      </c>
      <c r="D57" s="23"/>
    </row>
    <row r="58" spans="1:4">
      <c r="A58" s="18"/>
      <c r="B58" s="18"/>
      <c r="C58" s="26" t="s">
        <v>4</v>
      </c>
      <c r="D58" s="23"/>
    </row>
    <row r="59" spans="1:4" ht="33">
      <c r="A59" s="18"/>
      <c r="B59" s="18"/>
      <c r="C59" s="23" t="s">
        <v>195</v>
      </c>
      <c r="D59" s="23"/>
    </row>
    <row r="60" spans="1:4">
      <c r="A60" s="18"/>
      <c r="B60" s="18"/>
      <c r="C60" s="26" t="s">
        <v>5</v>
      </c>
      <c r="D60" s="23"/>
    </row>
    <row r="61" spans="1:4" s="30" customFormat="1" ht="33">
      <c r="A61" s="18"/>
      <c r="B61" s="18"/>
      <c r="C61" s="23" t="s">
        <v>193</v>
      </c>
      <c r="D61" s="23"/>
    </row>
    <row r="62" spans="1:4">
      <c r="A62" s="18"/>
      <c r="B62" s="18">
        <v>31009</v>
      </c>
      <c r="C62" s="26" t="s">
        <v>3</v>
      </c>
      <c r="D62" s="27">
        <v>31800</v>
      </c>
    </row>
    <row r="63" spans="1:4" ht="33">
      <c r="A63" s="18"/>
      <c r="B63" s="18"/>
      <c r="C63" s="23" t="s">
        <v>196</v>
      </c>
      <c r="D63" s="23"/>
    </row>
    <row r="64" spans="1:4">
      <c r="A64" s="18"/>
      <c r="B64" s="18"/>
      <c r="C64" s="26" t="s">
        <v>4</v>
      </c>
      <c r="D64" s="23"/>
    </row>
    <row r="65" spans="1:4" ht="49.5">
      <c r="A65" s="18"/>
      <c r="B65" s="18"/>
      <c r="C65" s="23" t="s">
        <v>197</v>
      </c>
      <c r="D65" s="23"/>
    </row>
    <row r="66" spans="1:4">
      <c r="A66" s="18"/>
      <c r="B66" s="18"/>
      <c r="C66" s="26" t="s">
        <v>5</v>
      </c>
      <c r="D66" s="23"/>
    </row>
    <row r="67" spans="1:4" ht="33">
      <c r="A67" s="18"/>
      <c r="B67" s="18"/>
      <c r="C67" s="23" t="s">
        <v>193</v>
      </c>
      <c r="D67" s="23"/>
    </row>
    <row r="68" spans="1:4">
      <c r="A68" s="18"/>
      <c r="B68" s="18">
        <v>32001</v>
      </c>
      <c r="C68" s="26" t="s">
        <v>3</v>
      </c>
      <c r="D68" s="27">
        <v>36200</v>
      </c>
    </row>
    <row r="69" spans="1:4">
      <c r="A69" s="18"/>
      <c r="B69" s="18"/>
      <c r="C69" s="23" t="s">
        <v>198</v>
      </c>
      <c r="D69" s="23"/>
    </row>
    <row r="70" spans="1:4">
      <c r="A70" s="18"/>
      <c r="B70" s="18"/>
      <c r="C70" s="26" t="s">
        <v>4</v>
      </c>
      <c r="D70" s="23"/>
    </row>
    <row r="71" spans="1:4" ht="49.5">
      <c r="A71" s="18"/>
      <c r="B71" s="18"/>
      <c r="C71" s="23" t="s">
        <v>199</v>
      </c>
      <c r="D71" s="23"/>
    </row>
    <row r="72" spans="1:4">
      <c r="A72" s="176"/>
      <c r="B72" s="18"/>
      <c r="C72" s="26" t="s">
        <v>5</v>
      </c>
      <c r="D72" s="23"/>
    </row>
    <row r="73" spans="1:4" ht="33">
      <c r="A73" s="49"/>
      <c r="B73" s="18"/>
      <c r="C73" s="23" t="s">
        <v>200</v>
      </c>
      <c r="D73" s="23"/>
    </row>
    <row r="74" spans="1:4">
      <c r="A74" s="18"/>
      <c r="B74" s="18"/>
      <c r="C74" s="24" t="s">
        <v>31</v>
      </c>
      <c r="D74" s="25">
        <f>+D75</f>
        <v>28800</v>
      </c>
    </row>
    <row r="75" spans="1:4">
      <c r="A75" s="18" t="s">
        <v>32</v>
      </c>
      <c r="B75" s="18"/>
      <c r="C75" s="26" t="s">
        <v>0</v>
      </c>
      <c r="D75" s="27">
        <f>+D82</f>
        <v>28800</v>
      </c>
    </row>
    <row r="76" spans="1:4" ht="33">
      <c r="A76" s="18"/>
      <c r="B76" s="18"/>
      <c r="C76" s="23" t="s">
        <v>33</v>
      </c>
      <c r="D76" s="28"/>
    </row>
    <row r="77" spans="1:4">
      <c r="A77" s="18"/>
      <c r="B77" s="18"/>
      <c r="C77" s="26" t="s">
        <v>1</v>
      </c>
      <c r="D77" s="28"/>
    </row>
    <row r="78" spans="1:4" ht="33">
      <c r="A78" s="18"/>
      <c r="B78" s="18"/>
      <c r="C78" s="23" t="s">
        <v>34</v>
      </c>
      <c r="D78" s="28"/>
    </row>
    <row r="79" spans="1:4">
      <c r="A79" s="18"/>
      <c r="B79" s="18"/>
      <c r="C79" s="26" t="s">
        <v>2</v>
      </c>
      <c r="D79" s="28"/>
    </row>
    <row r="80" spans="1:4" ht="33">
      <c r="A80" s="18"/>
      <c r="B80" s="18"/>
      <c r="C80" s="23" t="s">
        <v>35</v>
      </c>
      <c r="D80" s="28"/>
    </row>
    <row r="81" spans="1:4" s="31" customFormat="1">
      <c r="A81" s="190" t="s">
        <v>36</v>
      </c>
      <c r="B81" s="190"/>
      <c r="C81" s="190"/>
      <c r="D81" s="190"/>
    </row>
    <row r="82" spans="1:4" ht="17.25" customHeight="1">
      <c r="A82" s="18"/>
      <c r="B82" s="18" t="s">
        <v>37</v>
      </c>
      <c r="C82" s="26" t="s">
        <v>3</v>
      </c>
      <c r="D82" s="27">
        <v>28800</v>
      </c>
    </row>
    <row r="83" spans="1:4" ht="33">
      <c r="A83" s="18"/>
      <c r="B83" s="18"/>
      <c r="C83" s="23" t="s">
        <v>38</v>
      </c>
      <c r="D83" s="17"/>
    </row>
    <row r="84" spans="1:4">
      <c r="A84" s="18"/>
      <c r="B84" s="18"/>
      <c r="C84" s="26" t="s">
        <v>4</v>
      </c>
      <c r="D84" s="17"/>
    </row>
    <row r="85" spans="1:4" ht="33">
      <c r="A85" s="18"/>
      <c r="B85" s="18"/>
      <c r="C85" s="23" t="s">
        <v>39</v>
      </c>
      <c r="D85" s="17"/>
    </row>
    <row r="86" spans="1:4">
      <c r="A86" s="18"/>
      <c r="B86" s="18"/>
      <c r="C86" s="26" t="s">
        <v>5</v>
      </c>
      <c r="D86" s="17"/>
    </row>
    <row r="87" spans="1:4">
      <c r="A87" s="18"/>
      <c r="B87" s="18"/>
      <c r="C87" s="23" t="s">
        <v>6</v>
      </c>
      <c r="D87" s="17"/>
    </row>
    <row r="88" spans="1:4" ht="24.75" customHeight="1">
      <c r="A88" s="18"/>
      <c r="B88" s="18"/>
      <c r="C88" s="24" t="s">
        <v>93</v>
      </c>
      <c r="D88" s="25">
        <f>+D89+D102+D139+D152+D177+D190+D221</f>
        <v>0</v>
      </c>
    </row>
    <row r="89" spans="1:4">
      <c r="A89" s="18" t="s">
        <v>165</v>
      </c>
      <c r="B89" s="18"/>
      <c r="C89" s="26" t="s">
        <v>0</v>
      </c>
      <c r="D89" s="27">
        <f>+D96</f>
        <v>0</v>
      </c>
    </row>
    <row r="90" spans="1:4">
      <c r="A90" s="18"/>
      <c r="B90" s="18"/>
      <c r="C90" s="23" t="s">
        <v>166</v>
      </c>
      <c r="D90" s="23"/>
    </row>
    <row r="91" spans="1:4">
      <c r="A91" s="18"/>
      <c r="B91" s="18"/>
      <c r="C91" s="26" t="s">
        <v>1</v>
      </c>
      <c r="D91" s="23"/>
    </row>
    <row r="92" spans="1:4" ht="33">
      <c r="A92" s="18"/>
      <c r="B92" s="18"/>
      <c r="C92" s="23" t="s">
        <v>167</v>
      </c>
      <c r="D92" s="23"/>
    </row>
    <row r="93" spans="1:4">
      <c r="A93" s="18"/>
      <c r="B93" s="18"/>
      <c r="C93" s="26" t="s">
        <v>2</v>
      </c>
      <c r="D93" s="23"/>
    </row>
    <row r="94" spans="1:4" ht="33">
      <c r="A94" s="18"/>
      <c r="B94" s="18"/>
      <c r="C94" s="23" t="s">
        <v>168</v>
      </c>
      <c r="D94" s="23"/>
    </row>
    <row r="95" spans="1:4" ht="16.5" customHeight="1">
      <c r="A95" s="190" t="s">
        <v>36</v>
      </c>
      <c r="B95" s="190"/>
      <c r="C95" s="190"/>
      <c r="D95" s="190"/>
    </row>
    <row r="96" spans="1:4">
      <c r="A96" s="18"/>
      <c r="B96" s="18" t="s">
        <v>164</v>
      </c>
      <c r="C96" s="26" t="s">
        <v>3</v>
      </c>
      <c r="D96" s="27">
        <v>0</v>
      </c>
    </row>
    <row r="97" spans="1:4" ht="54" customHeight="1">
      <c r="A97" s="18"/>
      <c r="B97" s="18"/>
      <c r="C97" s="23" t="s">
        <v>169</v>
      </c>
      <c r="D97" s="23"/>
    </row>
    <row r="98" spans="1:4" ht="22.5" customHeight="1">
      <c r="A98" s="18"/>
      <c r="B98" s="18"/>
      <c r="C98" s="26" t="s">
        <v>4</v>
      </c>
      <c r="D98" s="23"/>
    </row>
    <row r="99" spans="1:4" ht="52.5" customHeight="1">
      <c r="A99" s="18"/>
      <c r="B99" s="18"/>
      <c r="C99" s="23" t="s">
        <v>169</v>
      </c>
      <c r="D99" s="23"/>
    </row>
    <row r="100" spans="1:4">
      <c r="A100" s="18"/>
      <c r="B100" s="18"/>
      <c r="C100" s="26" t="s">
        <v>5</v>
      </c>
      <c r="D100" s="23"/>
    </row>
    <row r="101" spans="1:4">
      <c r="A101" s="18"/>
      <c r="B101" s="18"/>
      <c r="C101" s="23" t="s">
        <v>6</v>
      </c>
      <c r="D101" s="23"/>
    </row>
    <row r="102" spans="1:4">
      <c r="A102" s="18" t="s">
        <v>94</v>
      </c>
      <c r="B102" s="18"/>
      <c r="C102" s="26" t="s">
        <v>0</v>
      </c>
      <c r="D102" s="27">
        <f>+D115+D121+D127+D805+D109+D133</f>
        <v>-687877.39999999991</v>
      </c>
    </row>
    <row r="103" spans="1:4">
      <c r="A103" s="18"/>
      <c r="B103" s="18"/>
      <c r="C103" s="23" t="s">
        <v>95</v>
      </c>
      <c r="D103" s="23"/>
    </row>
    <row r="104" spans="1:4">
      <c r="A104" s="18"/>
      <c r="B104" s="18"/>
      <c r="C104" s="26" t="s">
        <v>1</v>
      </c>
      <c r="D104" s="23"/>
    </row>
    <row r="105" spans="1:4" ht="66">
      <c r="A105" s="18"/>
      <c r="B105" s="18"/>
      <c r="C105" s="23" t="s">
        <v>96</v>
      </c>
      <c r="D105" s="23"/>
    </row>
    <row r="106" spans="1:4">
      <c r="A106" s="18"/>
      <c r="B106" s="18"/>
      <c r="C106" s="26" t="s">
        <v>2</v>
      </c>
      <c r="D106" s="23"/>
    </row>
    <row r="107" spans="1:4" ht="49.5">
      <c r="A107" s="18"/>
      <c r="B107" s="18"/>
      <c r="C107" s="23" t="s">
        <v>97</v>
      </c>
      <c r="D107" s="23"/>
    </row>
    <row r="108" spans="1:4">
      <c r="A108" s="190" t="s">
        <v>36</v>
      </c>
      <c r="B108" s="190"/>
      <c r="C108" s="190"/>
      <c r="D108" s="190"/>
    </row>
    <row r="109" spans="1:4">
      <c r="A109" s="18"/>
      <c r="B109" s="18" t="s">
        <v>161</v>
      </c>
      <c r="C109" s="26" t="s">
        <v>3</v>
      </c>
      <c r="D109" s="27">
        <v>0</v>
      </c>
    </row>
    <row r="110" spans="1:4" ht="49.5">
      <c r="A110" s="18"/>
      <c r="B110" s="18"/>
      <c r="C110" s="23" t="s">
        <v>162</v>
      </c>
      <c r="D110" s="23"/>
    </row>
    <row r="111" spans="1:4">
      <c r="A111" s="18"/>
      <c r="B111" s="18"/>
      <c r="C111" s="26" t="s">
        <v>4</v>
      </c>
      <c r="D111" s="23"/>
    </row>
    <row r="112" spans="1:4" ht="49.5">
      <c r="A112" s="18"/>
      <c r="B112" s="18"/>
      <c r="C112" s="23" t="s">
        <v>163</v>
      </c>
      <c r="D112" s="23"/>
    </row>
    <row r="113" spans="1:4">
      <c r="A113" s="18"/>
      <c r="B113" s="18"/>
      <c r="C113" s="26" t="s">
        <v>5</v>
      </c>
      <c r="D113" s="23"/>
    </row>
    <row r="114" spans="1:4">
      <c r="A114" s="18"/>
      <c r="B114" s="18"/>
      <c r="C114" s="23" t="s">
        <v>156</v>
      </c>
      <c r="D114" s="23"/>
    </row>
    <row r="115" spans="1:4" ht="16.5" customHeight="1">
      <c r="A115" s="18"/>
      <c r="B115" s="18" t="s">
        <v>155</v>
      </c>
      <c r="C115" s="26" t="s">
        <v>3</v>
      </c>
      <c r="D115" s="27">
        <v>285723.8</v>
      </c>
    </row>
    <row r="116" spans="1:4" ht="66">
      <c r="A116" s="18"/>
      <c r="B116" s="18"/>
      <c r="C116" s="23" t="s">
        <v>159</v>
      </c>
      <c r="D116" s="23"/>
    </row>
    <row r="117" spans="1:4">
      <c r="A117" s="18"/>
      <c r="B117" s="18"/>
      <c r="C117" s="26" t="s">
        <v>4</v>
      </c>
      <c r="D117" s="23"/>
    </row>
    <row r="118" spans="1:4" ht="66">
      <c r="A118" s="18"/>
      <c r="B118" s="18"/>
      <c r="C118" s="23" t="s">
        <v>160</v>
      </c>
      <c r="D118" s="23"/>
    </row>
    <row r="119" spans="1:4">
      <c r="A119" s="18"/>
      <c r="B119" s="18"/>
      <c r="C119" s="26" t="s">
        <v>5</v>
      </c>
      <c r="D119" s="23"/>
    </row>
    <row r="120" spans="1:4">
      <c r="A120" s="18"/>
      <c r="B120" s="18"/>
      <c r="C120" s="23" t="s">
        <v>156</v>
      </c>
      <c r="D120" s="23"/>
    </row>
    <row r="121" spans="1:4">
      <c r="A121" s="18"/>
      <c r="B121" s="18" t="s">
        <v>157</v>
      </c>
      <c r="C121" s="26" t="s">
        <v>3</v>
      </c>
      <c r="D121" s="27">
        <v>-285723.8</v>
      </c>
    </row>
    <row r="122" spans="1:4" ht="66">
      <c r="A122" s="18"/>
      <c r="B122" s="18"/>
      <c r="C122" s="23" t="s">
        <v>170</v>
      </c>
      <c r="D122" s="23"/>
    </row>
    <row r="123" spans="1:4">
      <c r="A123" s="18"/>
      <c r="B123" s="18"/>
      <c r="C123" s="26" t="s">
        <v>4</v>
      </c>
      <c r="D123" s="23"/>
    </row>
    <row r="124" spans="1:4" ht="49.5">
      <c r="A124" s="18"/>
      <c r="B124" s="18"/>
      <c r="C124" s="23" t="s">
        <v>158</v>
      </c>
      <c r="D124" s="23"/>
    </row>
    <row r="125" spans="1:4">
      <c r="A125" s="18"/>
      <c r="B125" s="18"/>
      <c r="C125" s="26" t="s">
        <v>5</v>
      </c>
      <c r="D125" s="23"/>
    </row>
    <row r="126" spans="1:4" ht="16.5" customHeight="1">
      <c r="A126" s="18"/>
      <c r="B126" s="18"/>
      <c r="C126" s="23" t="s">
        <v>156</v>
      </c>
      <c r="D126" s="23"/>
    </row>
    <row r="127" spans="1:4">
      <c r="A127" s="18"/>
      <c r="B127" s="18" t="s">
        <v>98</v>
      </c>
      <c r="C127" s="26" t="s">
        <v>3</v>
      </c>
      <c r="D127" s="27">
        <v>-344904.3</v>
      </c>
    </row>
    <row r="128" spans="1:4" ht="49.5">
      <c r="A128" s="18"/>
      <c r="B128" s="18"/>
      <c r="C128" s="23" t="s">
        <v>99</v>
      </c>
      <c r="D128" s="23"/>
    </row>
    <row r="129" spans="1:4">
      <c r="A129" s="18"/>
      <c r="B129" s="18"/>
      <c r="C129" s="26" t="s">
        <v>4</v>
      </c>
      <c r="D129" s="23"/>
    </row>
    <row r="130" spans="1:4" ht="49.5">
      <c r="A130" s="18"/>
      <c r="B130" s="18"/>
      <c r="C130" s="23" t="s">
        <v>100</v>
      </c>
      <c r="D130" s="23"/>
    </row>
    <row r="131" spans="1:4">
      <c r="A131" s="18"/>
      <c r="B131" s="18"/>
      <c r="C131" s="26" t="s">
        <v>5</v>
      </c>
      <c r="D131" s="23"/>
    </row>
    <row r="132" spans="1:4" ht="33">
      <c r="A132" s="18"/>
      <c r="B132" s="18"/>
      <c r="C132" s="23" t="s">
        <v>101</v>
      </c>
      <c r="D132" s="23"/>
    </row>
    <row r="133" spans="1:4">
      <c r="A133" s="18"/>
      <c r="B133" s="18" t="s">
        <v>102</v>
      </c>
      <c r="C133" s="26" t="s">
        <v>3</v>
      </c>
      <c r="D133" s="27">
        <v>-342973.1</v>
      </c>
    </row>
    <row r="134" spans="1:4" ht="33">
      <c r="A134" s="18"/>
      <c r="B134" s="18"/>
      <c r="C134" s="23" t="s">
        <v>103</v>
      </c>
      <c r="D134" s="23"/>
    </row>
    <row r="135" spans="1:4">
      <c r="A135" s="18"/>
      <c r="B135" s="18"/>
      <c r="C135" s="26" t="s">
        <v>4</v>
      </c>
      <c r="D135" s="23"/>
    </row>
    <row r="136" spans="1:4" ht="33">
      <c r="A136" s="18"/>
      <c r="B136" s="18"/>
      <c r="C136" s="23" t="s">
        <v>104</v>
      </c>
      <c r="D136" s="23"/>
    </row>
    <row r="137" spans="1:4">
      <c r="A137" s="18"/>
      <c r="B137" s="18"/>
      <c r="C137" s="26" t="s">
        <v>5</v>
      </c>
      <c r="D137" s="23"/>
    </row>
    <row r="138" spans="1:4" ht="33">
      <c r="A138" s="18"/>
      <c r="B138" s="18"/>
      <c r="C138" s="23" t="s">
        <v>101</v>
      </c>
      <c r="D138" s="23"/>
    </row>
    <row r="139" spans="1:4">
      <c r="A139" s="18" t="s">
        <v>105</v>
      </c>
      <c r="B139" s="18"/>
      <c r="C139" s="26" t="s">
        <v>0</v>
      </c>
      <c r="D139" s="27">
        <f>+D146</f>
        <v>-27225.1</v>
      </c>
    </row>
    <row r="140" spans="1:4">
      <c r="A140" s="18"/>
      <c r="B140" s="18"/>
      <c r="C140" s="23" t="s">
        <v>106</v>
      </c>
      <c r="D140" s="23"/>
    </row>
    <row r="141" spans="1:4">
      <c r="A141" s="18"/>
      <c r="B141" s="18"/>
      <c r="C141" s="26" t="s">
        <v>1</v>
      </c>
      <c r="D141" s="23"/>
    </row>
    <row r="142" spans="1:4" ht="33">
      <c r="A142" s="18"/>
      <c r="B142" s="18"/>
      <c r="C142" s="23" t="s">
        <v>107</v>
      </c>
      <c r="D142" s="23"/>
    </row>
    <row r="143" spans="1:4">
      <c r="A143" s="18"/>
      <c r="B143" s="18"/>
      <c r="C143" s="26" t="s">
        <v>2</v>
      </c>
      <c r="D143" s="23"/>
    </row>
    <row r="144" spans="1:4" ht="33">
      <c r="A144" s="18"/>
      <c r="B144" s="18"/>
      <c r="C144" s="23" t="s">
        <v>108</v>
      </c>
      <c r="D144" s="23"/>
    </row>
    <row r="145" spans="1:4" ht="16.5" customHeight="1">
      <c r="A145" s="190" t="s">
        <v>36</v>
      </c>
      <c r="B145" s="190"/>
      <c r="C145" s="190"/>
      <c r="D145" s="190"/>
    </row>
    <row r="146" spans="1:4">
      <c r="A146" s="18"/>
      <c r="B146" s="18" t="s">
        <v>109</v>
      </c>
      <c r="C146" s="26" t="s">
        <v>3</v>
      </c>
      <c r="D146" s="27">
        <v>-27225.1</v>
      </c>
    </row>
    <row r="147" spans="1:4" ht="33">
      <c r="A147" s="18"/>
      <c r="B147" s="18"/>
      <c r="C147" s="23" t="s">
        <v>110</v>
      </c>
      <c r="D147" s="23"/>
    </row>
    <row r="148" spans="1:4">
      <c r="A148" s="18"/>
      <c r="B148" s="18"/>
      <c r="C148" s="26" t="s">
        <v>4</v>
      </c>
      <c r="D148" s="23"/>
    </row>
    <row r="149" spans="1:4" ht="33">
      <c r="A149" s="18"/>
      <c r="B149" s="18"/>
      <c r="C149" s="23" t="s">
        <v>111</v>
      </c>
      <c r="D149" s="23"/>
    </row>
    <row r="150" spans="1:4">
      <c r="A150" s="18"/>
      <c r="B150" s="18"/>
      <c r="C150" s="26" t="s">
        <v>5</v>
      </c>
      <c r="D150" s="23"/>
    </row>
    <row r="151" spans="1:4" ht="33">
      <c r="A151" s="18"/>
      <c r="B151" s="18"/>
      <c r="C151" s="23" t="s">
        <v>101</v>
      </c>
      <c r="D151" s="23"/>
    </row>
    <row r="152" spans="1:4">
      <c r="A152" s="18" t="s">
        <v>112</v>
      </c>
      <c r="B152" s="18"/>
      <c r="C152" s="26" t="s">
        <v>0</v>
      </c>
      <c r="D152" s="27">
        <f>+D159+D165+D171</f>
        <v>875252.8</v>
      </c>
    </row>
    <row r="153" spans="1:4">
      <c r="A153" s="18"/>
      <c r="B153" s="18"/>
      <c r="C153" s="23" t="s">
        <v>113</v>
      </c>
      <c r="D153" s="23"/>
    </row>
    <row r="154" spans="1:4">
      <c r="A154" s="18"/>
      <c r="B154" s="18"/>
      <c r="C154" s="26" t="s">
        <v>1</v>
      </c>
      <c r="D154" s="23"/>
    </row>
    <row r="155" spans="1:4" ht="49.5">
      <c r="A155" s="18"/>
      <c r="B155" s="18"/>
      <c r="C155" s="23" t="s">
        <v>114</v>
      </c>
      <c r="D155" s="23"/>
    </row>
    <row r="156" spans="1:4">
      <c r="A156" s="18"/>
      <c r="B156" s="18"/>
      <c r="C156" s="26" t="s">
        <v>2</v>
      </c>
      <c r="D156" s="23"/>
    </row>
    <row r="157" spans="1:4">
      <c r="A157" s="18"/>
      <c r="B157" s="18"/>
      <c r="C157" s="23" t="s">
        <v>115</v>
      </c>
      <c r="D157" s="23"/>
    </row>
    <row r="158" spans="1:4" ht="16.5" customHeight="1">
      <c r="A158" s="190" t="s">
        <v>36</v>
      </c>
      <c r="B158" s="190"/>
      <c r="C158" s="190"/>
      <c r="D158" s="190"/>
    </row>
    <row r="159" spans="1:4">
      <c r="A159" s="18"/>
      <c r="B159" s="18" t="s">
        <v>98</v>
      </c>
      <c r="C159" s="26" t="s">
        <v>3</v>
      </c>
      <c r="D159" s="27">
        <v>13658.9</v>
      </c>
    </row>
    <row r="160" spans="1:4">
      <c r="A160" s="18"/>
      <c r="B160" s="18"/>
      <c r="C160" s="23" t="s">
        <v>116</v>
      </c>
      <c r="D160" s="23"/>
    </row>
    <row r="161" spans="1:4">
      <c r="A161" s="18"/>
      <c r="B161" s="18"/>
      <c r="C161" s="26" t="s">
        <v>4</v>
      </c>
      <c r="D161" s="23"/>
    </row>
    <row r="162" spans="1:4" ht="49.5">
      <c r="A162" s="18"/>
      <c r="B162" s="18"/>
      <c r="C162" s="23" t="s">
        <v>117</v>
      </c>
      <c r="D162" s="23"/>
    </row>
    <row r="163" spans="1:4">
      <c r="A163" s="18"/>
      <c r="B163" s="18"/>
      <c r="C163" s="26" t="s">
        <v>5</v>
      </c>
      <c r="D163" s="23"/>
    </row>
    <row r="164" spans="1:4" ht="33">
      <c r="A164" s="18"/>
      <c r="B164" s="18"/>
      <c r="C164" s="23" t="s">
        <v>101</v>
      </c>
      <c r="D164" s="23"/>
    </row>
    <row r="165" spans="1:4">
      <c r="A165" s="18"/>
      <c r="B165" s="18" t="s">
        <v>118</v>
      </c>
      <c r="C165" s="26" t="s">
        <v>3</v>
      </c>
      <c r="D165" s="27">
        <v>-21756.1</v>
      </c>
    </row>
    <row r="166" spans="1:4">
      <c r="A166" s="18"/>
      <c r="B166" s="18"/>
      <c r="C166" s="23" t="s">
        <v>119</v>
      </c>
      <c r="D166" s="23"/>
    </row>
    <row r="167" spans="1:4">
      <c r="A167" s="18"/>
      <c r="B167" s="18"/>
      <c r="C167" s="26" t="s">
        <v>4</v>
      </c>
      <c r="D167" s="23"/>
    </row>
    <row r="168" spans="1:4" ht="49.5">
      <c r="A168" s="18"/>
      <c r="B168" s="18"/>
      <c r="C168" s="23" t="s">
        <v>120</v>
      </c>
      <c r="D168" s="23"/>
    </row>
    <row r="169" spans="1:4">
      <c r="A169" s="18"/>
      <c r="B169" s="18"/>
      <c r="C169" s="26" t="s">
        <v>5</v>
      </c>
      <c r="D169" s="23"/>
    </row>
    <row r="170" spans="1:4" ht="33">
      <c r="A170" s="18"/>
      <c r="B170" s="18"/>
      <c r="C170" s="23" t="s">
        <v>101</v>
      </c>
      <c r="D170" s="23"/>
    </row>
    <row r="171" spans="1:4">
      <c r="A171" s="18"/>
      <c r="B171" s="18">
        <v>32004</v>
      </c>
      <c r="C171" s="23" t="s">
        <v>3</v>
      </c>
      <c r="D171" s="32">
        <v>883350</v>
      </c>
    </row>
    <row r="172" spans="1:4" ht="49.5">
      <c r="A172" s="18"/>
      <c r="B172" s="18"/>
      <c r="C172" s="23" t="s">
        <v>203</v>
      </c>
      <c r="D172" s="23"/>
    </row>
    <row r="173" spans="1:4">
      <c r="A173" s="18"/>
      <c r="B173" s="18"/>
      <c r="C173" s="23" t="s">
        <v>4</v>
      </c>
      <c r="D173" s="23"/>
    </row>
    <row r="174" spans="1:4" ht="66">
      <c r="A174" s="18"/>
      <c r="B174" s="18"/>
      <c r="C174" s="23" t="s">
        <v>204</v>
      </c>
      <c r="D174" s="23"/>
    </row>
    <row r="175" spans="1:4">
      <c r="A175" s="18"/>
      <c r="B175" s="18"/>
      <c r="C175" s="23" t="s">
        <v>5</v>
      </c>
      <c r="D175" s="23"/>
    </row>
    <row r="176" spans="1:4" ht="33">
      <c r="A176" s="18"/>
      <c r="B176" s="18"/>
      <c r="C176" s="23" t="s">
        <v>101</v>
      </c>
      <c r="D176" s="23"/>
    </row>
    <row r="177" spans="1:4">
      <c r="A177" s="18" t="s">
        <v>121</v>
      </c>
      <c r="B177" s="18"/>
      <c r="C177" s="23" t="s">
        <v>0</v>
      </c>
      <c r="D177" s="27">
        <f>+D184</f>
        <v>136756.4</v>
      </c>
    </row>
    <row r="178" spans="1:4">
      <c r="A178" s="18"/>
      <c r="B178" s="18"/>
      <c r="C178" s="23" t="s">
        <v>122</v>
      </c>
      <c r="D178" s="23"/>
    </row>
    <row r="179" spans="1:4">
      <c r="A179" s="18"/>
      <c r="B179" s="18"/>
      <c r="C179" s="26" t="s">
        <v>1</v>
      </c>
      <c r="D179" s="23"/>
    </row>
    <row r="180" spans="1:4" ht="49.5">
      <c r="A180" s="18"/>
      <c r="B180" s="18"/>
      <c r="C180" s="23" t="s">
        <v>123</v>
      </c>
      <c r="D180" s="23"/>
    </row>
    <row r="181" spans="1:4">
      <c r="A181" s="18"/>
      <c r="B181" s="18"/>
      <c r="C181" s="26" t="s">
        <v>2</v>
      </c>
      <c r="D181" s="23"/>
    </row>
    <row r="182" spans="1:4" ht="49.5">
      <c r="A182" s="18"/>
      <c r="B182" s="18"/>
      <c r="C182" s="23" t="s">
        <v>124</v>
      </c>
      <c r="D182" s="23"/>
    </row>
    <row r="183" spans="1:4" ht="16.5" customHeight="1">
      <c r="A183" s="190" t="s">
        <v>36</v>
      </c>
      <c r="B183" s="190"/>
      <c r="C183" s="190"/>
      <c r="D183" s="190"/>
    </row>
    <row r="184" spans="1:4">
      <c r="A184" s="18"/>
      <c r="B184" s="18" t="s">
        <v>98</v>
      </c>
      <c r="C184" s="26" t="s">
        <v>3</v>
      </c>
      <c r="D184" s="27">
        <v>136756.4</v>
      </c>
    </row>
    <row r="185" spans="1:4" ht="33">
      <c r="A185" s="18"/>
      <c r="B185" s="18"/>
      <c r="C185" s="23" t="s">
        <v>125</v>
      </c>
      <c r="D185" s="23"/>
    </row>
    <row r="186" spans="1:4">
      <c r="A186" s="18"/>
      <c r="B186" s="18"/>
      <c r="C186" s="26" t="s">
        <v>4</v>
      </c>
      <c r="D186" s="23"/>
    </row>
    <row r="187" spans="1:4" ht="66">
      <c r="A187" s="18"/>
      <c r="B187" s="18"/>
      <c r="C187" s="23" t="s">
        <v>126</v>
      </c>
      <c r="D187" s="23"/>
    </row>
    <row r="188" spans="1:4">
      <c r="A188" s="18"/>
      <c r="B188" s="18"/>
      <c r="C188" s="26" t="s">
        <v>5</v>
      </c>
      <c r="D188" s="23"/>
    </row>
    <row r="189" spans="1:4" ht="33">
      <c r="A189" s="18"/>
      <c r="B189" s="18"/>
      <c r="C189" s="23" t="s">
        <v>101</v>
      </c>
      <c r="D189" s="23"/>
    </row>
    <row r="190" spans="1:4">
      <c r="A190" s="18" t="s">
        <v>127</v>
      </c>
      <c r="B190" s="18"/>
      <c r="C190" s="26" t="s">
        <v>0</v>
      </c>
      <c r="D190" s="27">
        <f>+D197+D203+D209+D215</f>
        <v>530727.5</v>
      </c>
    </row>
    <row r="191" spans="1:4">
      <c r="A191" s="18"/>
      <c r="B191" s="18"/>
      <c r="C191" s="23" t="s">
        <v>128</v>
      </c>
      <c r="D191" s="23"/>
    </row>
    <row r="192" spans="1:4">
      <c r="A192" s="18"/>
      <c r="B192" s="18"/>
      <c r="C192" s="26" t="s">
        <v>1</v>
      </c>
      <c r="D192" s="23"/>
    </row>
    <row r="193" spans="1:4" ht="66">
      <c r="A193" s="18"/>
      <c r="B193" s="18"/>
      <c r="C193" s="23" t="s">
        <v>129</v>
      </c>
      <c r="D193" s="23"/>
    </row>
    <row r="194" spans="1:4">
      <c r="A194" s="18"/>
      <c r="B194" s="18"/>
      <c r="C194" s="26" t="s">
        <v>2</v>
      </c>
      <c r="D194" s="23"/>
    </row>
    <row r="195" spans="1:4">
      <c r="A195" s="18"/>
      <c r="B195" s="18"/>
      <c r="C195" s="23" t="s">
        <v>130</v>
      </c>
      <c r="D195" s="23"/>
    </row>
    <row r="196" spans="1:4" ht="16.5" customHeight="1">
      <c r="A196" s="190" t="s">
        <v>36</v>
      </c>
      <c r="B196" s="190"/>
      <c r="C196" s="190"/>
      <c r="D196" s="190"/>
    </row>
    <row r="197" spans="1:4">
      <c r="A197" s="18"/>
      <c r="B197" s="18" t="s">
        <v>118</v>
      </c>
      <c r="C197" s="26" t="s">
        <v>3</v>
      </c>
      <c r="D197" s="27">
        <v>90587.1</v>
      </c>
    </row>
    <row r="198" spans="1:4">
      <c r="A198" s="18"/>
      <c r="B198" s="18"/>
      <c r="C198" s="23" t="s">
        <v>131</v>
      </c>
      <c r="D198" s="23"/>
    </row>
    <row r="199" spans="1:4">
      <c r="A199" s="18"/>
      <c r="B199" s="18"/>
      <c r="C199" s="26" t="s">
        <v>4</v>
      </c>
      <c r="D199" s="23"/>
    </row>
    <row r="200" spans="1:4" ht="49.5">
      <c r="A200" s="18"/>
      <c r="B200" s="18"/>
      <c r="C200" s="23" t="s">
        <v>132</v>
      </c>
      <c r="D200" s="23"/>
    </row>
    <row r="201" spans="1:4">
      <c r="A201" s="18"/>
      <c r="B201" s="18"/>
      <c r="C201" s="26" t="s">
        <v>5</v>
      </c>
      <c r="D201" s="23"/>
    </row>
    <row r="202" spans="1:4" ht="31.5" customHeight="1">
      <c r="A202" s="18"/>
      <c r="B202" s="18"/>
      <c r="C202" s="23" t="s">
        <v>101</v>
      </c>
      <c r="D202" s="23"/>
    </row>
    <row r="203" spans="1:4">
      <c r="A203" s="18"/>
      <c r="B203" s="18">
        <v>32004</v>
      </c>
      <c r="C203" s="26" t="s">
        <v>3</v>
      </c>
      <c r="D203" s="32">
        <v>128576.8</v>
      </c>
    </row>
    <row r="204" spans="1:4" ht="33">
      <c r="A204" s="18"/>
      <c r="B204" s="18"/>
      <c r="C204" s="23" t="s">
        <v>201</v>
      </c>
      <c r="D204" s="23"/>
    </row>
    <row r="205" spans="1:4">
      <c r="A205" s="18"/>
      <c r="B205" s="18"/>
      <c r="C205" s="26" t="s">
        <v>4</v>
      </c>
      <c r="D205" s="23"/>
    </row>
    <row r="206" spans="1:4" ht="24.75" customHeight="1">
      <c r="A206" s="18"/>
      <c r="B206" s="18"/>
      <c r="C206" s="23" t="s">
        <v>202</v>
      </c>
      <c r="D206" s="23"/>
    </row>
    <row r="207" spans="1:4">
      <c r="A207" s="18"/>
      <c r="B207" s="18"/>
      <c r="C207" s="26" t="s">
        <v>5</v>
      </c>
      <c r="D207" s="23"/>
    </row>
    <row r="208" spans="1:4" ht="33">
      <c r="A208" s="18"/>
      <c r="B208" s="18"/>
      <c r="C208" s="23" t="s">
        <v>101</v>
      </c>
      <c r="D208" s="23"/>
    </row>
    <row r="209" spans="1:4">
      <c r="A209" s="18"/>
      <c r="B209" s="18" t="s">
        <v>133</v>
      </c>
      <c r="C209" s="26" t="s">
        <v>3</v>
      </c>
      <c r="D209" s="32">
        <v>14175</v>
      </c>
    </row>
    <row r="210" spans="1:4" ht="33">
      <c r="A210" s="18"/>
      <c r="B210" s="18"/>
      <c r="C210" s="23" t="s">
        <v>134</v>
      </c>
      <c r="D210" s="23"/>
    </row>
    <row r="211" spans="1:4">
      <c r="A211" s="18"/>
      <c r="B211" s="18"/>
      <c r="C211" s="26" t="s">
        <v>4</v>
      </c>
      <c r="D211" s="23"/>
    </row>
    <row r="212" spans="1:4" ht="49.5">
      <c r="A212" s="18"/>
      <c r="B212" s="18"/>
      <c r="C212" s="23" t="s">
        <v>135</v>
      </c>
      <c r="D212" s="23"/>
    </row>
    <row r="213" spans="1:4">
      <c r="A213" s="18"/>
      <c r="B213" s="18"/>
      <c r="C213" s="26" t="s">
        <v>5</v>
      </c>
      <c r="D213" s="23"/>
    </row>
    <row r="214" spans="1:4" ht="33">
      <c r="A214" s="18"/>
      <c r="B214" s="18"/>
      <c r="C214" s="23" t="s">
        <v>101</v>
      </c>
      <c r="D214" s="23"/>
    </row>
    <row r="215" spans="1:4">
      <c r="A215" s="18"/>
      <c r="B215" s="18" t="s">
        <v>136</v>
      </c>
      <c r="C215" s="26" t="s">
        <v>3</v>
      </c>
      <c r="D215" s="27">
        <v>297388.59999999998</v>
      </c>
    </row>
    <row r="216" spans="1:4" ht="33">
      <c r="A216" s="18"/>
      <c r="B216" s="18"/>
      <c r="C216" s="23" t="s">
        <v>137</v>
      </c>
      <c r="D216" s="23"/>
    </row>
    <row r="217" spans="1:4">
      <c r="A217" s="18"/>
      <c r="B217" s="18"/>
      <c r="C217" s="26" t="s">
        <v>4</v>
      </c>
      <c r="D217" s="23"/>
    </row>
    <row r="218" spans="1:4" ht="49.5">
      <c r="A218" s="18"/>
      <c r="B218" s="18"/>
      <c r="C218" s="23" t="s">
        <v>138</v>
      </c>
      <c r="D218" s="23"/>
    </row>
    <row r="219" spans="1:4">
      <c r="A219" s="18"/>
      <c r="B219" s="18"/>
      <c r="C219" s="26" t="s">
        <v>5</v>
      </c>
      <c r="D219" s="23"/>
    </row>
    <row r="220" spans="1:4" ht="33">
      <c r="A220" s="18"/>
      <c r="B220" s="18"/>
      <c r="C220" s="23" t="s">
        <v>101</v>
      </c>
      <c r="D220" s="23"/>
    </row>
    <row r="221" spans="1:4">
      <c r="A221" s="18" t="s">
        <v>139</v>
      </c>
      <c r="B221" s="18"/>
      <c r="C221" s="26" t="s">
        <v>0</v>
      </c>
      <c r="D221" s="27">
        <f>+D228+D234+D240+D246+D252+D258</f>
        <v>-827634.2</v>
      </c>
    </row>
    <row r="222" spans="1:4" ht="33">
      <c r="A222" s="18"/>
      <c r="B222" s="18"/>
      <c r="C222" s="23" t="s">
        <v>140</v>
      </c>
      <c r="D222" s="23"/>
    </row>
    <row r="223" spans="1:4">
      <c r="A223" s="18"/>
      <c r="B223" s="18"/>
      <c r="C223" s="26" t="s">
        <v>1</v>
      </c>
      <c r="D223" s="23"/>
    </row>
    <row r="224" spans="1:4" ht="49.5">
      <c r="A224" s="18"/>
      <c r="B224" s="18"/>
      <c r="C224" s="23" t="s">
        <v>141</v>
      </c>
      <c r="D224" s="23"/>
    </row>
    <row r="225" spans="1:4">
      <c r="A225" s="18"/>
      <c r="B225" s="18"/>
      <c r="C225" s="26" t="s">
        <v>2</v>
      </c>
      <c r="D225" s="23"/>
    </row>
    <row r="226" spans="1:4">
      <c r="A226" s="18"/>
      <c r="B226" s="18"/>
      <c r="C226" s="23" t="s">
        <v>142</v>
      </c>
      <c r="D226" s="23"/>
    </row>
    <row r="227" spans="1:4" ht="16.5" customHeight="1">
      <c r="A227" s="190" t="s">
        <v>36</v>
      </c>
      <c r="B227" s="190"/>
      <c r="C227" s="190"/>
      <c r="D227" s="190"/>
    </row>
    <row r="228" spans="1:4">
      <c r="A228" s="18"/>
      <c r="B228" s="18" t="s">
        <v>98</v>
      </c>
      <c r="C228" s="26" t="s">
        <v>3</v>
      </c>
      <c r="D228" s="27">
        <v>-1163822.6000000001</v>
      </c>
    </row>
    <row r="229" spans="1:4" ht="39" customHeight="1">
      <c r="A229" s="18"/>
      <c r="B229" s="18"/>
      <c r="C229" s="23" t="s">
        <v>428</v>
      </c>
      <c r="D229" s="23"/>
    </row>
    <row r="230" spans="1:4">
      <c r="A230" s="18"/>
      <c r="B230" s="18"/>
      <c r="C230" s="26" t="s">
        <v>4</v>
      </c>
      <c r="D230" s="23"/>
    </row>
    <row r="231" spans="1:4" ht="53.25" customHeight="1">
      <c r="A231" s="18"/>
      <c r="B231" s="18"/>
      <c r="C231" s="23" t="s">
        <v>171</v>
      </c>
      <c r="D231" s="23"/>
    </row>
    <row r="232" spans="1:4">
      <c r="A232" s="18"/>
      <c r="B232" s="18"/>
      <c r="C232" s="26" t="s">
        <v>5</v>
      </c>
      <c r="D232" s="23"/>
    </row>
    <row r="233" spans="1:4" ht="33">
      <c r="A233" s="18"/>
      <c r="B233" s="18"/>
      <c r="C233" s="23" t="s">
        <v>101</v>
      </c>
      <c r="D233" s="23"/>
    </row>
    <row r="234" spans="1:4">
      <c r="A234" s="18"/>
      <c r="B234" s="18" t="s">
        <v>118</v>
      </c>
      <c r="C234" s="26" t="s">
        <v>3</v>
      </c>
      <c r="D234" s="27">
        <v>255977.3</v>
      </c>
    </row>
    <row r="235" spans="1:4">
      <c r="A235" s="18"/>
      <c r="B235" s="18"/>
      <c r="C235" s="23" t="s">
        <v>144</v>
      </c>
      <c r="D235" s="23"/>
    </row>
    <row r="236" spans="1:4">
      <c r="A236" s="18"/>
      <c r="B236" s="18"/>
      <c r="C236" s="26" t="s">
        <v>4</v>
      </c>
      <c r="D236" s="23"/>
    </row>
    <row r="237" spans="1:4" ht="49.5">
      <c r="A237" s="18"/>
      <c r="B237" s="18"/>
      <c r="C237" s="23" t="s">
        <v>145</v>
      </c>
      <c r="D237" s="23"/>
    </row>
    <row r="238" spans="1:4">
      <c r="A238" s="18"/>
      <c r="B238" s="18"/>
      <c r="C238" s="26" t="s">
        <v>5</v>
      </c>
      <c r="D238" s="23"/>
    </row>
    <row r="239" spans="1:4" ht="33">
      <c r="A239" s="18"/>
      <c r="B239" s="18"/>
      <c r="C239" s="23" t="s">
        <v>101</v>
      </c>
      <c r="D239" s="23"/>
    </row>
    <row r="240" spans="1:4">
      <c r="A240" s="18"/>
      <c r="B240" s="18" t="s">
        <v>146</v>
      </c>
      <c r="C240" s="26" t="s">
        <v>3</v>
      </c>
      <c r="D240" s="27">
        <v>-363427</v>
      </c>
    </row>
    <row r="241" spans="1:4">
      <c r="A241" s="18"/>
      <c r="B241" s="18"/>
      <c r="C241" s="23" t="s">
        <v>147</v>
      </c>
      <c r="D241" s="23"/>
    </row>
    <row r="242" spans="1:4" ht="16.5" customHeight="1">
      <c r="A242" s="18"/>
      <c r="B242" s="18"/>
      <c r="C242" s="26" t="s">
        <v>4</v>
      </c>
      <c r="D242" s="23"/>
    </row>
    <row r="243" spans="1:4" ht="66">
      <c r="A243" s="18"/>
      <c r="B243" s="18"/>
      <c r="C243" s="23" t="s">
        <v>151</v>
      </c>
      <c r="D243" s="23"/>
    </row>
    <row r="244" spans="1:4">
      <c r="A244" s="18"/>
      <c r="B244" s="18"/>
      <c r="C244" s="26" t="s">
        <v>5</v>
      </c>
      <c r="D244" s="23"/>
    </row>
    <row r="245" spans="1:4" ht="33">
      <c r="A245" s="18"/>
      <c r="B245" s="18"/>
      <c r="C245" s="23" t="s">
        <v>101</v>
      </c>
      <c r="D245" s="23"/>
    </row>
    <row r="246" spans="1:4">
      <c r="A246" s="18"/>
      <c r="B246" s="18" t="s">
        <v>148</v>
      </c>
      <c r="C246" s="26" t="s">
        <v>3</v>
      </c>
      <c r="D246" s="27">
        <v>-147812.20000000001</v>
      </c>
    </row>
    <row r="247" spans="1:4">
      <c r="A247" s="18"/>
      <c r="B247" s="18"/>
      <c r="C247" s="23" t="s">
        <v>143</v>
      </c>
      <c r="D247" s="23"/>
    </row>
    <row r="248" spans="1:4">
      <c r="A248" s="18"/>
      <c r="B248" s="18"/>
      <c r="C248" s="26" t="s">
        <v>4</v>
      </c>
      <c r="D248" s="23"/>
    </row>
    <row r="249" spans="1:4" ht="49.5">
      <c r="A249" s="18"/>
      <c r="B249" s="18"/>
      <c r="C249" s="23" t="s">
        <v>149</v>
      </c>
      <c r="D249" s="23"/>
    </row>
    <row r="250" spans="1:4">
      <c r="A250" s="18"/>
      <c r="B250" s="18"/>
      <c r="C250" s="26" t="s">
        <v>5</v>
      </c>
      <c r="D250" s="23"/>
    </row>
    <row r="251" spans="1:4" ht="16.5" customHeight="1">
      <c r="A251" s="18"/>
      <c r="B251" s="18"/>
      <c r="C251" s="23" t="s">
        <v>101</v>
      </c>
      <c r="D251" s="23"/>
    </row>
    <row r="252" spans="1:4">
      <c r="A252" s="18"/>
      <c r="B252" s="18" t="s">
        <v>102</v>
      </c>
      <c r="C252" s="26" t="s">
        <v>3</v>
      </c>
      <c r="D252" s="27">
        <v>-154520</v>
      </c>
    </row>
    <row r="253" spans="1:4">
      <c r="A253" s="18"/>
      <c r="B253" s="18"/>
      <c r="C253" s="23" t="s">
        <v>150</v>
      </c>
      <c r="D253" s="23"/>
    </row>
    <row r="254" spans="1:4">
      <c r="A254" s="18"/>
      <c r="B254" s="18"/>
      <c r="C254" s="26" t="s">
        <v>4</v>
      </c>
      <c r="D254" s="23"/>
    </row>
    <row r="255" spans="1:4" ht="16.5" customHeight="1">
      <c r="A255" s="18"/>
      <c r="B255" s="18"/>
      <c r="C255" s="23" t="s">
        <v>151</v>
      </c>
      <c r="D255" s="23"/>
    </row>
    <row r="256" spans="1:4">
      <c r="A256" s="18"/>
      <c r="B256" s="18"/>
      <c r="C256" s="26" t="s">
        <v>5</v>
      </c>
      <c r="D256" s="23"/>
    </row>
    <row r="257" spans="1:11" ht="33">
      <c r="A257" s="18"/>
      <c r="B257" s="18"/>
      <c r="C257" s="23" t="s">
        <v>101</v>
      </c>
      <c r="D257" s="23"/>
    </row>
    <row r="258" spans="1:11">
      <c r="A258" s="18"/>
      <c r="B258" s="18" t="s">
        <v>152</v>
      </c>
      <c r="C258" s="26" t="s">
        <v>3</v>
      </c>
      <c r="D258" s="27">
        <v>745970.3</v>
      </c>
    </row>
    <row r="259" spans="1:11" ht="33">
      <c r="A259" s="18"/>
      <c r="B259" s="18"/>
      <c r="C259" s="23" t="s">
        <v>153</v>
      </c>
      <c r="D259" s="23"/>
    </row>
    <row r="260" spans="1:11">
      <c r="A260" s="18"/>
      <c r="B260" s="18"/>
      <c r="C260" s="26" t="s">
        <v>4</v>
      </c>
      <c r="D260" s="23"/>
    </row>
    <row r="261" spans="1:11" ht="66">
      <c r="A261" s="18"/>
      <c r="B261" s="18"/>
      <c r="C261" s="23" t="s">
        <v>154</v>
      </c>
      <c r="D261" s="23"/>
    </row>
    <row r="262" spans="1:11">
      <c r="A262" s="18"/>
      <c r="B262" s="18"/>
      <c r="C262" s="26" t="s">
        <v>5</v>
      </c>
      <c r="D262" s="23"/>
    </row>
    <row r="263" spans="1:11" ht="33">
      <c r="A263" s="18"/>
      <c r="B263" s="18"/>
      <c r="C263" s="23" t="s">
        <v>101</v>
      </c>
      <c r="D263" s="23"/>
    </row>
    <row r="264" spans="1:11">
      <c r="A264" s="18"/>
      <c r="B264" s="18"/>
      <c r="C264" s="24" t="s">
        <v>40</v>
      </c>
      <c r="D264" s="22">
        <f>+D265</f>
        <v>-234000</v>
      </c>
      <c r="F264" s="33"/>
    </row>
    <row r="265" spans="1:11" ht="33">
      <c r="A265" s="18">
        <v>1043</v>
      </c>
      <c r="B265" s="18"/>
      <c r="C265" s="23" t="s">
        <v>22</v>
      </c>
      <c r="D265" s="27">
        <f>+D271</f>
        <v>-234000</v>
      </c>
      <c r="F265" s="34"/>
    </row>
    <row r="266" spans="1:11">
      <c r="A266" s="18"/>
      <c r="B266" s="18"/>
      <c r="C266" s="23" t="s">
        <v>1</v>
      </c>
      <c r="D266" s="23"/>
    </row>
    <row r="267" spans="1:11">
      <c r="A267" s="18"/>
      <c r="B267" s="18"/>
      <c r="C267" s="23" t="s">
        <v>41</v>
      </c>
      <c r="D267" s="23"/>
      <c r="K267" s="16"/>
    </row>
    <row r="268" spans="1:11">
      <c r="A268" s="18"/>
      <c r="B268" s="18"/>
      <c r="C268" s="23" t="s">
        <v>2</v>
      </c>
      <c r="D268" s="23"/>
    </row>
    <row r="269" spans="1:11">
      <c r="A269" s="18"/>
      <c r="B269" s="18"/>
      <c r="C269" s="23" t="s">
        <v>42</v>
      </c>
      <c r="D269" s="23"/>
    </row>
    <row r="270" spans="1:11" s="31" customFormat="1">
      <c r="A270" s="190"/>
      <c r="B270" s="190"/>
      <c r="C270" s="190"/>
      <c r="D270" s="190"/>
    </row>
    <row r="271" spans="1:11" ht="33">
      <c r="A271" s="18"/>
      <c r="B271" s="18">
        <v>11003</v>
      </c>
      <c r="C271" s="23" t="s">
        <v>43</v>
      </c>
      <c r="D271" s="27">
        <v>-234000</v>
      </c>
    </row>
    <row r="272" spans="1:11">
      <c r="A272" s="18"/>
      <c r="B272" s="18"/>
      <c r="C272" s="23" t="s">
        <v>4</v>
      </c>
      <c r="D272" s="23"/>
    </row>
    <row r="273" spans="1:4" ht="49.5">
      <c r="A273" s="18"/>
      <c r="B273" s="18"/>
      <c r="C273" s="23" t="s">
        <v>44</v>
      </c>
      <c r="D273" s="23"/>
    </row>
    <row r="274" spans="1:4">
      <c r="A274" s="18"/>
      <c r="B274" s="18"/>
      <c r="C274" s="23" t="s">
        <v>5</v>
      </c>
      <c r="D274" s="23"/>
    </row>
    <row r="275" spans="1:4">
      <c r="A275" s="18"/>
      <c r="B275" s="18"/>
      <c r="C275" s="23" t="s">
        <v>6</v>
      </c>
      <c r="D275" s="23"/>
    </row>
    <row r="276" spans="1:4">
      <c r="A276" s="18"/>
      <c r="B276" s="18"/>
      <c r="C276" s="24" t="s">
        <v>213</v>
      </c>
      <c r="D276" s="35">
        <f>+D277</f>
        <v>22000000</v>
      </c>
    </row>
    <row r="277" spans="1:4">
      <c r="A277" s="18" t="s">
        <v>214</v>
      </c>
      <c r="B277" s="18"/>
      <c r="C277" s="26" t="s">
        <v>0</v>
      </c>
      <c r="D277" s="27">
        <f>+D284</f>
        <v>22000000</v>
      </c>
    </row>
    <row r="278" spans="1:4">
      <c r="A278" s="18"/>
      <c r="B278" s="18"/>
      <c r="C278" s="23" t="s">
        <v>215</v>
      </c>
      <c r="D278" s="23"/>
    </row>
    <row r="279" spans="1:4">
      <c r="A279" s="18"/>
      <c r="B279" s="18"/>
      <c r="C279" s="26" t="s">
        <v>1</v>
      </c>
      <c r="D279" s="23"/>
    </row>
    <row r="280" spans="1:4" ht="49.5">
      <c r="A280" s="18"/>
      <c r="B280" s="18"/>
      <c r="C280" s="23" t="s">
        <v>216</v>
      </c>
      <c r="D280" s="23"/>
    </row>
    <row r="281" spans="1:4">
      <c r="A281" s="18"/>
      <c r="B281" s="18"/>
      <c r="C281" s="26" t="s">
        <v>2</v>
      </c>
      <c r="D281" s="23"/>
    </row>
    <row r="282" spans="1:4" ht="33">
      <c r="A282" s="18"/>
      <c r="B282" s="18"/>
      <c r="C282" s="23" t="s">
        <v>217</v>
      </c>
      <c r="D282" s="23"/>
    </row>
    <row r="283" spans="1:4">
      <c r="A283" s="190" t="s">
        <v>36</v>
      </c>
      <c r="B283" s="190"/>
      <c r="C283" s="190"/>
      <c r="D283" s="190"/>
    </row>
    <row r="284" spans="1:4">
      <c r="A284" s="18"/>
      <c r="B284" s="18" t="s">
        <v>218</v>
      </c>
      <c r="C284" s="26" t="s">
        <v>3</v>
      </c>
      <c r="D284" s="27">
        <v>22000000</v>
      </c>
    </row>
    <row r="285" spans="1:4">
      <c r="A285" s="18"/>
      <c r="B285" s="18"/>
      <c r="C285" s="23" t="s">
        <v>219</v>
      </c>
      <c r="D285" s="23"/>
    </row>
    <row r="286" spans="1:4">
      <c r="A286" s="18"/>
      <c r="B286" s="18"/>
      <c r="C286" s="26" t="s">
        <v>4</v>
      </c>
      <c r="D286" s="23"/>
    </row>
    <row r="287" spans="1:4">
      <c r="A287" s="18"/>
      <c r="B287" s="18"/>
      <c r="C287" s="23" t="s">
        <v>220</v>
      </c>
      <c r="D287" s="23"/>
    </row>
    <row r="288" spans="1:4">
      <c r="A288" s="18"/>
      <c r="B288" s="18"/>
      <c r="C288" s="26" t="s">
        <v>5</v>
      </c>
      <c r="D288" s="23"/>
    </row>
    <row r="289" spans="1:9" s="37" customFormat="1">
      <c r="A289" s="18"/>
      <c r="B289" s="18"/>
      <c r="C289" s="23" t="s">
        <v>221</v>
      </c>
      <c r="D289" s="23"/>
      <c r="E289" s="36"/>
      <c r="F289" s="36"/>
      <c r="G289" s="36"/>
      <c r="H289" s="36"/>
      <c r="I289" s="36"/>
    </row>
    <row r="290" spans="1:9">
      <c r="A290" s="49"/>
      <c r="B290" s="49"/>
      <c r="C290" s="38" t="s">
        <v>15</v>
      </c>
      <c r="D290" s="39">
        <f>D291</f>
        <v>-22018925.399999999</v>
      </c>
    </row>
    <row r="291" spans="1:9">
      <c r="A291" s="49" t="s">
        <v>16</v>
      </c>
      <c r="B291" s="49"/>
      <c r="C291" s="29" t="s">
        <v>0</v>
      </c>
      <c r="D291" s="40">
        <f>D297</f>
        <v>-22018925.399999999</v>
      </c>
    </row>
    <row r="292" spans="1:9">
      <c r="A292" s="49"/>
      <c r="B292" s="49"/>
      <c r="C292" s="29" t="s">
        <v>17</v>
      </c>
      <c r="D292" s="40"/>
    </row>
    <row r="293" spans="1:9">
      <c r="A293" s="49"/>
      <c r="B293" s="49"/>
      <c r="C293" s="29" t="s">
        <v>1</v>
      </c>
      <c r="D293" s="40"/>
    </row>
    <row r="294" spans="1:9" ht="33">
      <c r="A294" s="49"/>
      <c r="B294" s="49"/>
      <c r="C294" s="29" t="s">
        <v>18</v>
      </c>
      <c r="D294" s="40"/>
    </row>
    <row r="295" spans="1:9">
      <c r="A295" s="49"/>
      <c r="B295" s="49"/>
      <c r="C295" s="29" t="s">
        <v>2</v>
      </c>
      <c r="D295" s="40"/>
    </row>
    <row r="296" spans="1:9" ht="33">
      <c r="A296" s="49"/>
      <c r="B296" s="49"/>
      <c r="C296" s="29" t="s">
        <v>19</v>
      </c>
      <c r="D296" s="40"/>
    </row>
    <row r="297" spans="1:9">
      <c r="A297" s="49"/>
      <c r="B297" s="49" t="s">
        <v>14</v>
      </c>
      <c r="C297" s="29" t="s">
        <v>3</v>
      </c>
      <c r="D297" s="41">
        <v>-22018925.399999999</v>
      </c>
    </row>
    <row r="298" spans="1:9">
      <c r="A298" s="49"/>
      <c r="B298" s="49"/>
      <c r="C298" s="42" t="s">
        <v>17</v>
      </c>
      <c r="D298" s="41"/>
    </row>
    <row r="299" spans="1:9">
      <c r="A299" s="49"/>
      <c r="B299" s="49"/>
      <c r="C299" s="29" t="s">
        <v>4</v>
      </c>
      <c r="D299" s="41"/>
    </row>
    <row r="300" spans="1:9" ht="49.5">
      <c r="A300" s="49"/>
      <c r="B300" s="49"/>
      <c r="C300" s="42" t="s">
        <v>20</v>
      </c>
      <c r="D300" s="41"/>
    </row>
    <row r="301" spans="1:9">
      <c r="A301" s="49"/>
      <c r="B301" s="49"/>
      <c r="C301" s="42" t="s">
        <v>5</v>
      </c>
      <c r="D301" s="40"/>
    </row>
    <row r="302" spans="1:9">
      <c r="A302" s="49"/>
      <c r="B302" s="49"/>
      <c r="C302" s="43" t="s">
        <v>6</v>
      </c>
      <c r="D302" s="40"/>
    </row>
  </sheetData>
  <mergeCells count="17">
    <mergeCell ref="A19:D19"/>
    <mergeCell ref="A283:D283"/>
    <mergeCell ref="A31:D31"/>
    <mergeCell ref="A227:D227"/>
    <mergeCell ref="A95:D95"/>
    <mergeCell ref="A183:D183"/>
    <mergeCell ref="A196:D196"/>
    <mergeCell ref="A270:D270"/>
    <mergeCell ref="A81:D81"/>
    <mergeCell ref="A145:D145"/>
    <mergeCell ref="A108:D108"/>
    <mergeCell ref="A158:D158"/>
    <mergeCell ref="A5:D5"/>
    <mergeCell ref="C7:D7"/>
    <mergeCell ref="A8:B8"/>
    <mergeCell ref="C8:C9"/>
    <mergeCell ref="D8:D9"/>
  </mergeCells>
  <pageMargins left="0.43307086614173229" right="0.35433070866141736" top="0.43307086614173229" bottom="0.39370078740157483" header="0.31496062992125984" footer="0.15748031496062992"/>
  <pageSetup scale="80" firstPageNumber="3265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35"/>
  <sheetViews>
    <sheetView tabSelected="1" topLeftCell="A7" zoomScaleNormal="100" workbookViewId="0">
      <pane xSplit="3" ySplit="3" topLeftCell="D68" activePane="bottomRight" state="frozen"/>
      <selection activeCell="A7" sqref="A7"/>
      <selection pane="topRight" activeCell="D7" sqref="D7"/>
      <selection pane="bottomLeft" activeCell="A10" sqref="A10"/>
      <selection pane="bottomRight" activeCell="G72" sqref="G72"/>
    </sheetView>
  </sheetViews>
  <sheetFormatPr defaultColWidth="8.85546875" defaultRowHeight="16.5"/>
  <cols>
    <col min="1" max="1" width="13.7109375" style="45" customWidth="1"/>
    <col min="2" max="2" width="16.85546875" style="45" customWidth="1"/>
    <col min="3" max="3" width="63.5703125" style="46" customWidth="1"/>
    <col min="4" max="4" width="20.28515625" style="46" customWidth="1"/>
    <col min="5" max="5" width="22.42578125" style="46" customWidth="1"/>
    <col min="6" max="6" width="23.5703125" style="46" customWidth="1"/>
    <col min="7" max="8" width="20.28515625" style="46" customWidth="1"/>
    <col min="9" max="9" width="8.85546875" style="46"/>
    <col min="10" max="10" width="11.28515625" style="46" customWidth="1"/>
    <col min="11" max="11" width="10.5703125" style="46" bestFit="1" customWidth="1"/>
    <col min="12" max="16384" width="8.85546875" style="46"/>
  </cols>
  <sheetData>
    <row r="1" spans="1:9" ht="20.25" customHeight="1">
      <c r="D1" s="47"/>
      <c r="E1" s="47"/>
      <c r="F1" s="47"/>
      <c r="H1" s="14" t="s">
        <v>420</v>
      </c>
    </row>
    <row r="2" spans="1:9">
      <c r="F2" s="47"/>
      <c r="G2" s="15" t="s">
        <v>409</v>
      </c>
    </row>
    <row r="3" spans="1:9" ht="18" customHeight="1">
      <c r="F3" s="47"/>
      <c r="G3" s="15" t="s">
        <v>21</v>
      </c>
    </row>
    <row r="5" spans="1:9" ht="33.75" customHeight="1">
      <c r="A5" s="185" t="s">
        <v>45</v>
      </c>
      <c r="B5" s="185"/>
      <c r="C5" s="185"/>
      <c r="D5" s="185"/>
      <c r="E5" s="185"/>
      <c r="F5" s="185"/>
      <c r="G5" s="185"/>
      <c r="H5" s="185"/>
    </row>
    <row r="6" spans="1:9">
      <c r="H6" s="48" t="s">
        <v>7</v>
      </c>
    </row>
    <row r="7" spans="1:9" ht="98.25" customHeight="1">
      <c r="A7" s="191" t="s">
        <v>8</v>
      </c>
      <c r="B7" s="191"/>
      <c r="C7" s="49" t="s">
        <v>23</v>
      </c>
      <c r="D7" s="49" t="s">
        <v>24</v>
      </c>
      <c r="E7" s="49" t="s">
        <v>25</v>
      </c>
      <c r="F7" s="49" t="s">
        <v>26</v>
      </c>
      <c r="G7" s="49" t="s">
        <v>27</v>
      </c>
      <c r="H7" s="49" t="s">
        <v>28</v>
      </c>
    </row>
    <row r="8" spans="1:9" ht="33" customHeight="1">
      <c r="A8" s="49" t="s">
        <v>29</v>
      </c>
      <c r="B8" s="49" t="s">
        <v>30</v>
      </c>
      <c r="C8" s="50" t="s">
        <v>12</v>
      </c>
      <c r="D8" s="51">
        <f>D10+D16+D68+D333</f>
        <v>0</v>
      </c>
      <c r="E8" s="51">
        <f>E10+E16+E68+E333</f>
        <v>-2375895.2999999998</v>
      </c>
      <c r="F8" s="51">
        <f>F10+F16+F68+F333</f>
        <v>-793559.50000000093</v>
      </c>
      <c r="G8" s="51">
        <f>G10+G16+G68+G333</f>
        <v>1507359.6</v>
      </c>
      <c r="H8" s="51">
        <f>H10+H16+H68+H333</f>
        <v>1662095.2000000002</v>
      </c>
    </row>
    <row r="9" spans="1:9">
      <c r="A9" s="52"/>
      <c r="B9" s="52"/>
      <c r="C9" s="50" t="s">
        <v>208</v>
      </c>
      <c r="D9" s="53"/>
      <c r="E9" s="53"/>
      <c r="F9" s="53"/>
      <c r="G9" s="54"/>
      <c r="H9" s="55"/>
    </row>
    <row r="10" spans="1:9">
      <c r="A10" s="52"/>
      <c r="B10" s="52"/>
      <c r="C10" s="56" t="s">
        <v>421</v>
      </c>
      <c r="D10" s="57">
        <f>D12+D13+D14+D15</f>
        <v>128000</v>
      </c>
      <c r="E10" s="57">
        <f>E12+E13+E14+E15</f>
        <v>0</v>
      </c>
      <c r="F10" s="57">
        <f>F12+F13+F14+F15</f>
        <v>0</v>
      </c>
      <c r="G10" s="57">
        <f>G12+G13+G14+G15</f>
        <v>68000</v>
      </c>
      <c r="H10" s="57">
        <f>H12+H13+H14+H15</f>
        <v>60000</v>
      </c>
    </row>
    <row r="11" spans="1:9">
      <c r="A11" s="52"/>
      <c r="B11" s="52"/>
      <c r="C11" s="49" t="s">
        <v>208</v>
      </c>
      <c r="D11" s="57"/>
      <c r="E11" s="57"/>
      <c r="F11" s="57"/>
      <c r="G11" s="57"/>
      <c r="H11" s="58"/>
    </row>
    <row r="12" spans="1:9" ht="40.5" customHeight="1">
      <c r="A12" s="61">
        <v>1136</v>
      </c>
      <c r="B12" s="61">
        <v>31002</v>
      </c>
      <c r="C12" s="29" t="s">
        <v>422</v>
      </c>
      <c r="D12" s="57">
        <f t="shared" ref="D12:D15" si="0">SUM(E12:H12)</f>
        <v>55000</v>
      </c>
      <c r="E12" s="57">
        <f>SUM(E13:E13)</f>
        <v>0</v>
      </c>
      <c r="F12" s="57">
        <f>SUM(F13:F13)</f>
        <v>0</v>
      </c>
      <c r="G12" s="57">
        <f>SUM(G13:G13)</f>
        <v>0</v>
      </c>
      <c r="H12" s="58">
        <v>55000</v>
      </c>
    </row>
    <row r="13" spans="1:9" ht="49.5">
      <c r="A13" s="61">
        <v>1136</v>
      </c>
      <c r="B13" s="61">
        <v>31005</v>
      </c>
      <c r="C13" s="29" t="s">
        <v>423</v>
      </c>
      <c r="D13" s="57">
        <f t="shared" si="0"/>
        <v>5000</v>
      </c>
      <c r="E13" s="57">
        <f>SUM(E14:E14)</f>
        <v>0</v>
      </c>
      <c r="F13" s="57">
        <f>SUM(F14:F14)</f>
        <v>0</v>
      </c>
      <c r="G13" s="57"/>
      <c r="H13" s="58">
        <v>5000</v>
      </c>
    </row>
    <row r="14" spans="1:9" ht="40.5" customHeight="1">
      <c r="A14" s="61">
        <v>1136</v>
      </c>
      <c r="B14" s="61">
        <v>31009</v>
      </c>
      <c r="C14" s="29" t="s">
        <v>424</v>
      </c>
      <c r="D14" s="57">
        <f t="shared" si="0"/>
        <v>31800</v>
      </c>
      <c r="E14" s="57">
        <f>SUM(E15:E15)</f>
        <v>0</v>
      </c>
      <c r="F14" s="57"/>
      <c r="G14" s="57">
        <v>31800</v>
      </c>
      <c r="H14" s="58"/>
    </row>
    <row r="15" spans="1:9" ht="21.75" customHeight="1">
      <c r="A15" s="61">
        <v>1136</v>
      </c>
      <c r="B15" s="61">
        <v>32001</v>
      </c>
      <c r="C15" s="29" t="s">
        <v>425</v>
      </c>
      <c r="D15" s="57">
        <f t="shared" si="0"/>
        <v>36200</v>
      </c>
      <c r="E15" s="57">
        <f>SUM(E16:E16)</f>
        <v>0</v>
      </c>
      <c r="F15" s="57"/>
      <c r="G15" s="57">
        <v>36200</v>
      </c>
      <c r="H15" s="58"/>
    </row>
    <row r="16" spans="1:9" s="60" customFormat="1" ht="48" customHeight="1">
      <c r="A16" s="52"/>
      <c r="B16" s="52"/>
      <c r="C16" s="56" t="s">
        <v>46</v>
      </c>
      <c r="D16" s="57">
        <f>D18+D24+D62</f>
        <v>0</v>
      </c>
      <c r="E16" s="57">
        <f t="shared" ref="E16:H16" si="1">E18+E24+E62</f>
        <v>0</v>
      </c>
      <c r="F16" s="57">
        <f t="shared" si="1"/>
        <v>41227.200000000012</v>
      </c>
      <c r="G16" s="57">
        <f t="shared" si="1"/>
        <v>-41227.199999999997</v>
      </c>
      <c r="H16" s="58">
        <f t="shared" si="1"/>
        <v>0</v>
      </c>
      <c r="I16" s="59"/>
    </row>
    <row r="17" spans="1:9" s="60" customFormat="1">
      <c r="A17" s="52"/>
      <c r="B17" s="52"/>
      <c r="C17" s="49" t="s">
        <v>208</v>
      </c>
      <c r="D17" s="57"/>
      <c r="E17" s="57"/>
      <c r="F17" s="57"/>
      <c r="G17" s="57"/>
      <c r="H17" s="58"/>
      <c r="I17" s="59"/>
    </row>
    <row r="18" spans="1:9" s="60" customFormat="1" ht="44.25" customHeight="1">
      <c r="A18" s="61" t="s">
        <v>205</v>
      </c>
      <c r="B18" s="61" t="s">
        <v>206</v>
      </c>
      <c r="C18" s="29" t="s">
        <v>207</v>
      </c>
      <c r="D18" s="57">
        <f>SUM(D20:D23)</f>
        <v>0</v>
      </c>
      <c r="E18" s="57">
        <f t="shared" ref="E18:H18" si="2">SUM(E20:E23)</f>
        <v>0</v>
      </c>
      <c r="F18" s="57">
        <f t="shared" si="2"/>
        <v>41227.200000000012</v>
      </c>
      <c r="G18" s="57">
        <f t="shared" si="2"/>
        <v>-41227.199999999997</v>
      </c>
      <c r="H18" s="58">
        <f t="shared" si="2"/>
        <v>0</v>
      </c>
      <c r="I18" s="59"/>
    </row>
    <row r="19" spans="1:9" s="60" customFormat="1">
      <c r="A19" s="61"/>
      <c r="B19" s="61"/>
      <c r="C19" s="42" t="s">
        <v>208</v>
      </c>
      <c r="D19" s="57"/>
      <c r="E19" s="57"/>
      <c r="F19" s="57"/>
      <c r="G19" s="57"/>
      <c r="H19" s="58"/>
      <c r="I19" s="59"/>
    </row>
    <row r="20" spans="1:9" s="60" customFormat="1" ht="82.5" customHeight="1">
      <c r="A20" s="61"/>
      <c r="B20" s="61"/>
      <c r="C20" s="42" t="s">
        <v>209</v>
      </c>
      <c r="D20" s="57">
        <f t="shared" ref="D20:D22" si="3">SUM(E20:H20)</f>
        <v>151470.1</v>
      </c>
      <c r="E20" s="57"/>
      <c r="F20" s="57">
        <v>151470.1</v>
      </c>
      <c r="G20" s="57"/>
      <c r="H20" s="58"/>
      <c r="I20" s="59"/>
    </row>
    <row r="21" spans="1:9" s="60" customFormat="1" ht="32.25" customHeight="1">
      <c r="A21" s="61"/>
      <c r="B21" s="61"/>
      <c r="C21" s="42" t="s">
        <v>210</v>
      </c>
      <c r="D21" s="57">
        <f t="shared" si="3"/>
        <v>37628.800000000003</v>
      </c>
      <c r="E21" s="57"/>
      <c r="F21" s="57">
        <v>37628.800000000003</v>
      </c>
      <c r="G21" s="57"/>
      <c r="H21" s="58"/>
      <c r="I21" s="59"/>
    </row>
    <row r="22" spans="1:9" s="60" customFormat="1" ht="27" customHeight="1">
      <c r="A22" s="61"/>
      <c r="B22" s="61"/>
      <c r="C22" s="42" t="s">
        <v>211</v>
      </c>
      <c r="D22" s="57">
        <f t="shared" si="3"/>
        <v>40351.9</v>
      </c>
      <c r="E22" s="57"/>
      <c r="F22" s="57">
        <v>40351.9</v>
      </c>
      <c r="G22" s="57"/>
      <c r="H22" s="58"/>
      <c r="I22" s="59"/>
    </row>
    <row r="23" spans="1:9" s="60" customFormat="1" ht="36.75" customHeight="1">
      <c r="A23" s="61"/>
      <c r="B23" s="61"/>
      <c r="C23" s="42" t="s">
        <v>212</v>
      </c>
      <c r="D23" s="57">
        <f>SUM(E23:H23)</f>
        <v>-229450.8</v>
      </c>
      <c r="E23" s="57"/>
      <c r="F23" s="57">
        <v>-188223.6</v>
      </c>
      <c r="G23" s="57">
        <v>-41227.199999999997</v>
      </c>
      <c r="H23" s="58"/>
      <c r="I23" s="59"/>
    </row>
    <row r="24" spans="1:9" s="60" customFormat="1" ht="33">
      <c r="A24" s="61" t="s">
        <v>47</v>
      </c>
      <c r="B24" s="61" t="s">
        <v>48</v>
      </c>
      <c r="C24" s="29" t="s">
        <v>49</v>
      </c>
      <c r="D24" s="62">
        <f>D25+D37+D46+D61</f>
        <v>0</v>
      </c>
      <c r="E24" s="62">
        <f t="shared" ref="E24:H24" si="4">E25+E37+E46+E61</f>
        <v>0</v>
      </c>
      <c r="F24" s="62">
        <f t="shared" si="4"/>
        <v>0</v>
      </c>
      <c r="G24" s="62">
        <f t="shared" si="4"/>
        <v>0</v>
      </c>
      <c r="H24" s="62">
        <f t="shared" si="4"/>
        <v>0</v>
      </c>
      <c r="I24" s="59"/>
    </row>
    <row r="25" spans="1:9" ht="36.75" customHeight="1">
      <c r="A25" s="50"/>
      <c r="B25" s="50"/>
      <c r="C25" s="63" t="s">
        <v>50</v>
      </c>
      <c r="D25" s="64">
        <f t="shared" ref="D25:E25" si="5">SUM(D26:D36)</f>
        <v>18623642.300000001</v>
      </c>
      <c r="E25" s="64">
        <f t="shared" si="5"/>
        <v>0</v>
      </c>
      <c r="F25" s="64">
        <f>SUM(F26:F36)</f>
        <v>18623642.300000001</v>
      </c>
      <c r="G25" s="64"/>
      <c r="H25" s="51"/>
    </row>
    <row r="26" spans="1:9" ht="49.5">
      <c r="A26" s="50"/>
      <c r="B26" s="50"/>
      <c r="C26" s="42" t="s">
        <v>51</v>
      </c>
      <c r="D26" s="65">
        <f>E26+F26+G26+H26</f>
        <v>999576.3</v>
      </c>
      <c r="E26" s="65"/>
      <c r="F26" s="65">
        <v>999576.3</v>
      </c>
      <c r="G26" s="65"/>
      <c r="H26" s="66"/>
    </row>
    <row r="27" spans="1:9" ht="66">
      <c r="A27" s="50"/>
      <c r="B27" s="50"/>
      <c r="C27" s="42" t="s">
        <v>52</v>
      </c>
      <c r="D27" s="65">
        <f t="shared" ref="D27:D61" si="6">E27+F27+G27+H27</f>
        <v>2228143.7000000002</v>
      </c>
      <c r="E27" s="65"/>
      <c r="F27" s="65">
        <v>2228143.7000000002</v>
      </c>
      <c r="G27" s="65"/>
      <c r="H27" s="66"/>
    </row>
    <row r="28" spans="1:9" ht="66">
      <c r="A28" s="50"/>
      <c r="B28" s="50"/>
      <c r="C28" s="42" t="s">
        <v>53</v>
      </c>
      <c r="D28" s="65">
        <f t="shared" si="6"/>
        <v>1797908.1</v>
      </c>
      <c r="E28" s="65"/>
      <c r="F28" s="65">
        <v>1797908.1</v>
      </c>
      <c r="G28" s="65"/>
      <c r="H28" s="66"/>
    </row>
    <row r="29" spans="1:9" ht="66">
      <c r="A29" s="50"/>
      <c r="B29" s="50"/>
      <c r="C29" s="42" t="s">
        <v>54</v>
      </c>
      <c r="D29" s="65">
        <f t="shared" si="6"/>
        <v>2654914.6</v>
      </c>
      <c r="E29" s="65"/>
      <c r="F29" s="65">
        <v>2654914.6</v>
      </c>
      <c r="G29" s="65"/>
      <c r="H29" s="66"/>
    </row>
    <row r="30" spans="1:9" ht="82.5">
      <c r="A30" s="50"/>
      <c r="B30" s="50"/>
      <c r="C30" s="42" t="s">
        <v>55</v>
      </c>
      <c r="D30" s="65">
        <f t="shared" si="6"/>
        <v>516085.2</v>
      </c>
      <c r="E30" s="65"/>
      <c r="F30" s="65">
        <v>516085.2</v>
      </c>
      <c r="G30" s="65"/>
      <c r="H30" s="51"/>
    </row>
    <row r="31" spans="1:9" ht="49.5">
      <c r="A31" s="50"/>
      <c r="B31" s="50"/>
      <c r="C31" s="42" t="s">
        <v>56</v>
      </c>
      <c r="D31" s="65">
        <f t="shared" si="6"/>
        <v>3177354.3</v>
      </c>
      <c r="E31" s="65"/>
      <c r="F31" s="65">
        <v>3177354.3</v>
      </c>
      <c r="G31" s="65"/>
      <c r="H31" s="51"/>
    </row>
    <row r="32" spans="1:9" ht="49.5">
      <c r="A32" s="50"/>
      <c r="B32" s="50"/>
      <c r="C32" s="42" t="s">
        <v>57</v>
      </c>
      <c r="D32" s="65">
        <f t="shared" si="6"/>
        <v>2513546.2000000002</v>
      </c>
      <c r="E32" s="65"/>
      <c r="F32" s="65">
        <v>2513546.2000000002</v>
      </c>
      <c r="G32" s="65"/>
      <c r="H32" s="67"/>
    </row>
    <row r="33" spans="1:8" ht="49.5">
      <c r="A33" s="50"/>
      <c r="B33" s="50"/>
      <c r="C33" s="42" t="s">
        <v>58</v>
      </c>
      <c r="D33" s="65">
        <f t="shared" si="6"/>
        <v>2727054.1</v>
      </c>
      <c r="E33" s="65"/>
      <c r="F33" s="65">
        <v>2727054.1</v>
      </c>
      <c r="G33" s="65"/>
      <c r="H33" s="66"/>
    </row>
    <row r="34" spans="1:8" ht="49.5">
      <c r="A34" s="50"/>
      <c r="B34" s="50"/>
      <c r="C34" s="42" t="s">
        <v>59</v>
      </c>
      <c r="D34" s="65">
        <f t="shared" si="6"/>
        <v>787156.9</v>
      </c>
      <c r="E34" s="65"/>
      <c r="F34" s="65">
        <v>787156.9</v>
      </c>
      <c r="G34" s="65"/>
      <c r="H34" s="67"/>
    </row>
    <row r="35" spans="1:8" ht="66">
      <c r="A35" s="50"/>
      <c r="B35" s="50"/>
      <c r="C35" s="42" t="s">
        <v>60</v>
      </c>
      <c r="D35" s="65">
        <f t="shared" si="6"/>
        <v>565014.30000000005</v>
      </c>
      <c r="E35" s="65"/>
      <c r="F35" s="65">
        <v>565014.30000000005</v>
      </c>
      <c r="G35" s="65"/>
      <c r="H35" s="68"/>
    </row>
    <row r="36" spans="1:8" ht="66">
      <c r="A36" s="50"/>
      <c r="B36" s="50"/>
      <c r="C36" s="42" t="s">
        <v>61</v>
      </c>
      <c r="D36" s="65">
        <f t="shared" si="6"/>
        <v>656888.6</v>
      </c>
      <c r="E36" s="65"/>
      <c r="F36" s="65">
        <v>656888.6</v>
      </c>
      <c r="G36" s="65"/>
      <c r="H36" s="68"/>
    </row>
    <row r="37" spans="1:8" ht="33">
      <c r="A37" s="50"/>
      <c r="B37" s="50"/>
      <c r="C37" s="63" t="s">
        <v>62</v>
      </c>
      <c r="D37" s="69">
        <f t="shared" ref="D37:E37" si="7">SUM(D38:D45)</f>
        <v>9741439.6000000015</v>
      </c>
      <c r="E37" s="69">
        <f t="shared" si="7"/>
        <v>0</v>
      </c>
      <c r="F37" s="69">
        <f>SUM(F38:F45)</f>
        <v>9741439.6000000015</v>
      </c>
      <c r="G37" s="69"/>
      <c r="H37" s="68"/>
    </row>
    <row r="38" spans="1:8" ht="66">
      <c r="A38" s="50"/>
      <c r="B38" s="50"/>
      <c r="C38" s="42" t="s">
        <v>63</v>
      </c>
      <c r="D38" s="65">
        <f t="shared" si="6"/>
        <v>800311.1</v>
      </c>
      <c r="E38" s="65"/>
      <c r="F38" s="65">
        <v>800311.1</v>
      </c>
      <c r="G38" s="65"/>
      <c r="H38" s="68"/>
    </row>
    <row r="39" spans="1:8" ht="49.5">
      <c r="A39" s="50"/>
      <c r="B39" s="50"/>
      <c r="C39" s="42" t="s">
        <v>64</v>
      </c>
      <c r="D39" s="65">
        <f t="shared" si="6"/>
        <v>411131.1</v>
      </c>
      <c r="E39" s="65"/>
      <c r="F39" s="65">
        <v>411131.1</v>
      </c>
      <c r="G39" s="65"/>
      <c r="H39" s="68"/>
    </row>
    <row r="40" spans="1:8" ht="49.5">
      <c r="A40" s="50"/>
      <c r="B40" s="50"/>
      <c r="C40" s="42" t="s">
        <v>65</v>
      </c>
      <c r="D40" s="65">
        <f t="shared" si="6"/>
        <v>1717203.2</v>
      </c>
      <c r="E40" s="65"/>
      <c r="F40" s="65">
        <v>1717203.2</v>
      </c>
      <c r="G40" s="65"/>
      <c r="H40" s="68"/>
    </row>
    <row r="41" spans="1:8" ht="49.5">
      <c r="A41" s="50"/>
      <c r="B41" s="50"/>
      <c r="C41" s="42" t="s">
        <v>66</v>
      </c>
      <c r="D41" s="65">
        <f t="shared" si="6"/>
        <v>810967.4</v>
      </c>
      <c r="E41" s="65"/>
      <c r="F41" s="65">
        <v>810967.4</v>
      </c>
      <c r="G41" s="65"/>
      <c r="H41" s="68"/>
    </row>
    <row r="42" spans="1:8" ht="49.5">
      <c r="A42" s="50"/>
      <c r="B42" s="50"/>
      <c r="C42" s="42" t="s">
        <v>67</v>
      </c>
      <c r="D42" s="65">
        <f t="shared" si="6"/>
        <v>3051555.1</v>
      </c>
      <c r="E42" s="65"/>
      <c r="F42" s="65">
        <v>3051555.1</v>
      </c>
      <c r="G42" s="65"/>
      <c r="H42" s="68"/>
    </row>
    <row r="43" spans="1:8" ht="49.5">
      <c r="A43" s="50"/>
      <c r="B43" s="50"/>
      <c r="C43" s="42" t="s">
        <v>68</v>
      </c>
      <c r="D43" s="65">
        <f t="shared" si="6"/>
        <v>1932990.3</v>
      </c>
      <c r="E43" s="65"/>
      <c r="F43" s="65">
        <v>1932990.3</v>
      </c>
      <c r="G43" s="65"/>
      <c r="H43" s="68"/>
    </row>
    <row r="44" spans="1:8" ht="49.5">
      <c r="A44" s="50"/>
      <c r="B44" s="50"/>
      <c r="C44" s="42" t="s">
        <v>69</v>
      </c>
      <c r="D44" s="65">
        <f t="shared" si="6"/>
        <v>765266.9</v>
      </c>
      <c r="E44" s="65"/>
      <c r="F44" s="65">
        <v>765266.9</v>
      </c>
      <c r="G44" s="65"/>
      <c r="H44" s="68"/>
    </row>
    <row r="45" spans="1:8" ht="49.5">
      <c r="A45" s="50"/>
      <c r="B45" s="50"/>
      <c r="C45" s="42" t="s">
        <v>70</v>
      </c>
      <c r="D45" s="65">
        <f t="shared" si="6"/>
        <v>252014.5</v>
      </c>
      <c r="E45" s="65"/>
      <c r="F45" s="65">
        <v>252014.5</v>
      </c>
      <c r="G45" s="65"/>
      <c r="H45" s="68"/>
    </row>
    <row r="46" spans="1:8" ht="33">
      <c r="A46" s="50"/>
      <c r="B46" s="50"/>
      <c r="C46" s="63" t="s">
        <v>71</v>
      </c>
      <c r="D46" s="69">
        <f t="shared" ref="D46:E46" si="8">SUM(D47:D60)</f>
        <v>10053264.399999999</v>
      </c>
      <c r="E46" s="69">
        <f t="shared" si="8"/>
        <v>0</v>
      </c>
      <c r="F46" s="69">
        <f>SUM(F47:F60)</f>
        <v>10053264.399999999</v>
      </c>
      <c r="G46" s="69"/>
      <c r="H46" s="68"/>
    </row>
    <row r="47" spans="1:8" ht="33">
      <c r="A47" s="50"/>
      <c r="B47" s="50"/>
      <c r="C47" s="42" t="s">
        <v>72</v>
      </c>
      <c r="D47" s="65">
        <f t="shared" si="6"/>
        <v>902941.9</v>
      </c>
      <c r="E47" s="65"/>
      <c r="F47" s="65">
        <v>902941.9</v>
      </c>
      <c r="G47" s="65"/>
      <c r="H47" s="68"/>
    </row>
    <row r="48" spans="1:8" ht="33">
      <c r="A48" s="50"/>
      <c r="B48" s="50"/>
      <c r="C48" s="42" t="s">
        <v>73</v>
      </c>
      <c r="D48" s="65">
        <f t="shared" si="6"/>
        <v>330116</v>
      </c>
      <c r="E48" s="65"/>
      <c r="F48" s="65">
        <v>330116</v>
      </c>
      <c r="G48" s="65"/>
      <c r="H48" s="68"/>
    </row>
    <row r="49" spans="1:8" ht="33">
      <c r="A49" s="50"/>
      <c r="B49" s="50"/>
      <c r="C49" s="42" t="s">
        <v>74</v>
      </c>
      <c r="D49" s="65">
        <f t="shared" si="6"/>
        <v>1353372.7</v>
      </c>
      <c r="E49" s="65"/>
      <c r="F49" s="65">
        <v>1353372.7</v>
      </c>
      <c r="G49" s="65"/>
      <c r="H49" s="68"/>
    </row>
    <row r="50" spans="1:8" ht="49.5">
      <c r="A50" s="50"/>
      <c r="B50" s="50"/>
      <c r="C50" s="42" t="s">
        <v>75</v>
      </c>
      <c r="D50" s="65">
        <f t="shared" si="6"/>
        <v>370325.1</v>
      </c>
      <c r="E50" s="65"/>
      <c r="F50" s="65">
        <v>370325.1</v>
      </c>
      <c r="G50" s="65"/>
      <c r="H50" s="68"/>
    </row>
    <row r="51" spans="1:8" ht="49.5">
      <c r="A51" s="50"/>
      <c r="B51" s="50"/>
      <c r="C51" s="42" t="s">
        <v>76</v>
      </c>
      <c r="D51" s="65">
        <f t="shared" si="6"/>
        <v>454232</v>
      </c>
      <c r="E51" s="65"/>
      <c r="F51" s="65">
        <v>454232</v>
      </c>
      <c r="G51" s="65"/>
      <c r="H51" s="68"/>
    </row>
    <row r="52" spans="1:8" ht="49.5">
      <c r="A52" s="50"/>
      <c r="B52" s="50"/>
      <c r="C52" s="42" t="s">
        <v>77</v>
      </c>
      <c r="D52" s="65">
        <f t="shared" si="6"/>
        <v>784082.2</v>
      </c>
      <c r="E52" s="65"/>
      <c r="F52" s="65">
        <v>784082.2</v>
      </c>
      <c r="G52" s="65"/>
      <c r="H52" s="68"/>
    </row>
    <row r="53" spans="1:8" ht="49.5">
      <c r="A53" s="50"/>
      <c r="B53" s="50"/>
      <c r="C53" s="42" t="s">
        <v>78</v>
      </c>
      <c r="D53" s="65">
        <f t="shared" si="6"/>
        <v>595334</v>
      </c>
      <c r="E53" s="65"/>
      <c r="F53" s="65">
        <v>595334</v>
      </c>
      <c r="G53" s="65"/>
      <c r="H53" s="68"/>
    </row>
    <row r="54" spans="1:8" ht="33">
      <c r="A54" s="50"/>
      <c r="B54" s="50"/>
      <c r="C54" s="42" t="s">
        <v>79</v>
      </c>
      <c r="D54" s="65">
        <f t="shared" si="6"/>
        <v>447348.2</v>
      </c>
      <c r="E54" s="65"/>
      <c r="F54" s="65">
        <v>447348.2</v>
      </c>
      <c r="G54" s="65"/>
      <c r="H54" s="68"/>
    </row>
    <row r="55" spans="1:8" ht="49.5">
      <c r="A55" s="50"/>
      <c r="B55" s="50"/>
      <c r="C55" s="42" t="s">
        <v>80</v>
      </c>
      <c r="D55" s="65">
        <f t="shared" si="6"/>
        <v>350382.6</v>
      </c>
      <c r="E55" s="65"/>
      <c r="F55" s="65">
        <v>350382.6</v>
      </c>
      <c r="G55" s="65"/>
      <c r="H55" s="68"/>
    </row>
    <row r="56" spans="1:8" ht="66">
      <c r="A56" s="50"/>
      <c r="B56" s="50"/>
      <c r="C56" s="42" t="s">
        <v>81</v>
      </c>
      <c r="D56" s="65">
        <f t="shared" si="6"/>
        <v>1351173.2</v>
      </c>
      <c r="E56" s="65"/>
      <c r="F56" s="65">
        <v>1351173.2</v>
      </c>
      <c r="G56" s="65"/>
      <c r="H56" s="68"/>
    </row>
    <row r="57" spans="1:8" ht="33">
      <c r="A57" s="50"/>
      <c r="B57" s="50"/>
      <c r="C57" s="42" t="s">
        <v>82</v>
      </c>
      <c r="D57" s="65">
        <f t="shared" si="6"/>
        <v>387103.6</v>
      </c>
      <c r="E57" s="65"/>
      <c r="F57" s="65">
        <v>387103.6</v>
      </c>
      <c r="G57" s="65"/>
      <c r="H57" s="68"/>
    </row>
    <row r="58" spans="1:8" ht="33">
      <c r="A58" s="50"/>
      <c r="B58" s="50"/>
      <c r="C58" s="42" t="s">
        <v>83</v>
      </c>
      <c r="D58" s="65">
        <f t="shared" si="6"/>
        <v>478362.8</v>
      </c>
      <c r="E58" s="65"/>
      <c r="F58" s="65">
        <v>478362.8</v>
      </c>
      <c r="G58" s="65"/>
      <c r="H58" s="68"/>
    </row>
    <row r="59" spans="1:8" ht="49.5">
      <c r="A59" s="50"/>
      <c r="B59" s="50"/>
      <c r="C59" s="42" t="s">
        <v>84</v>
      </c>
      <c r="D59" s="65">
        <f t="shared" si="6"/>
        <v>1543271.7</v>
      </c>
      <c r="E59" s="65"/>
      <c r="F59" s="65">
        <v>1543271.7</v>
      </c>
      <c r="G59" s="65"/>
      <c r="H59" s="68"/>
    </row>
    <row r="60" spans="1:8" ht="33">
      <c r="A60" s="50"/>
      <c r="B60" s="50"/>
      <c r="C60" s="42" t="s">
        <v>85</v>
      </c>
      <c r="D60" s="65">
        <f t="shared" si="6"/>
        <v>705218.4</v>
      </c>
      <c r="E60" s="65"/>
      <c r="F60" s="65">
        <v>705218.4</v>
      </c>
      <c r="G60" s="65"/>
      <c r="H60" s="68"/>
    </row>
    <row r="61" spans="1:8">
      <c r="A61" s="61"/>
      <c r="B61" s="61"/>
      <c r="C61" s="70" t="s">
        <v>86</v>
      </c>
      <c r="D61" s="69">
        <f t="shared" si="6"/>
        <v>-38418346.299999997</v>
      </c>
      <c r="E61" s="69"/>
      <c r="F61" s="69">
        <v>-38418346.299999997</v>
      </c>
      <c r="G61" s="69"/>
      <c r="H61" s="68"/>
    </row>
    <row r="62" spans="1:8">
      <c r="A62" s="61" t="s">
        <v>47</v>
      </c>
      <c r="B62" s="61" t="s">
        <v>87</v>
      </c>
      <c r="C62" s="29" t="s">
        <v>88</v>
      </c>
      <c r="D62" s="71">
        <f>D63+D64+D65+D66+D67</f>
        <v>0</v>
      </c>
      <c r="E62" s="71">
        <f t="shared" ref="E62:H62" si="9">E63+E64+E65+E66+E67</f>
        <v>0</v>
      </c>
      <c r="F62" s="71">
        <f t="shared" si="9"/>
        <v>0</v>
      </c>
      <c r="G62" s="71">
        <f t="shared" si="9"/>
        <v>0</v>
      </c>
      <c r="H62" s="71">
        <f t="shared" si="9"/>
        <v>0</v>
      </c>
    </row>
    <row r="63" spans="1:8" ht="49.5">
      <c r="A63" s="50"/>
      <c r="B63" s="50"/>
      <c r="C63" s="42" t="s">
        <v>89</v>
      </c>
      <c r="D63" s="65">
        <f>E63+F63+G63+H63</f>
        <v>96182</v>
      </c>
      <c r="E63" s="65"/>
      <c r="F63" s="65">
        <v>96182</v>
      </c>
      <c r="G63" s="65"/>
      <c r="H63" s="68"/>
    </row>
    <row r="64" spans="1:8" ht="49.5">
      <c r="A64" s="50"/>
      <c r="B64" s="50"/>
      <c r="C64" s="42" t="s">
        <v>90</v>
      </c>
      <c r="D64" s="65">
        <f t="shared" ref="D64:D67" si="10">E64+F64+G64+H64</f>
        <v>107754.5</v>
      </c>
      <c r="E64" s="65"/>
      <c r="F64" s="65">
        <v>107754.5</v>
      </c>
      <c r="G64" s="65"/>
      <c r="H64" s="68"/>
    </row>
    <row r="65" spans="1:12">
      <c r="A65" s="50"/>
      <c r="B65" s="50"/>
      <c r="C65" s="42" t="s">
        <v>91</v>
      </c>
      <c r="D65" s="65">
        <f t="shared" si="10"/>
        <v>438871.6</v>
      </c>
      <c r="E65" s="65"/>
      <c r="F65" s="65">
        <v>438871.6</v>
      </c>
      <c r="G65" s="65"/>
      <c r="H65" s="68"/>
    </row>
    <row r="66" spans="1:12" ht="49.5">
      <c r="A66" s="50"/>
      <c r="B66" s="50"/>
      <c r="C66" s="42" t="s">
        <v>92</v>
      </c>
      <c r="D66" s="65">
        <f t="shared" si="10"/>
        <v>321610.59999999998</v>
      </c>
      <c r="E66" s="65"/>
      <c r="F66" s="65">
        <v>321610.59999999998</v>
      </c>
      <c r="G66" s="65"/>
      <c r="H66" s="68"/>
    </row>
    <row r="67" spans="1:12">
      <c r="A67" s="61"/>
      <c r="B67" s="61"/>
      <c r="C67" s="70" t="s">
        <v>86</v>
      </c>
      <c r="D67" s="69">
        <f t="shared" si="10"/>
        <v>-964418.7</v>
      </c>
      <c r="E67" s="72"/>
      <c r="F67" s="69">
        <v>-964418.7</v>
      </c>
      <c r="G67" s="72"/>
      <c r="H67" s="73"/>
    </row>
    <row r="68" spans="1:12" s="80" customFormat="1" ht="66.95" customHeight="1">
      <c r="A68" s="74"/>
      <c r="B68" s="75"/>
      <c r="C68" s="75" t="s">
        <v>222</v>
      </c>
      <c r="D68" s="76">
        <f>+E68+F68+G68+H68</f>
        <v>0</v>
      </c>
      <c r="E68" s="77">
        <f>+E70+E83+E87+E115+E120+E129+E133+E134+E139+E144+E149+E157+E167+E174+E198+E201+E244+E248+E254+E119</f>
        <v>-2247895.2999999998</v>
      </c>
      <c r="F68" s="77">
        <f>+F70+F83+F87+F115+F120+F129+F133+F134+F139+F144+F149+F157+F167+F174+F198+F201+F244+F248+F254+F119</f>
        <v>-834786.700000001</v>
      </c>
      <c r="G68" s="77">
        <f>+G70+G83+G87+G115+G120+G129+G133+G134+G139+G144+G149+G157+G167+G174+G198+G201+G244+G248+G254+G119</f>
        <v>1480586.8</v>
      </c>
      <c r="H68" s="77">
        <f t="shared" ref="G68:H68" si="11">+H70+H83+H87+H115+H120+H129+H133+H134+H139+H144+H149+H157+H167+H174+H198+H201+H244+H248+H254+H119</f>
        <v>1602095.2000000002</v>
      </c>
      <c r="I68" s="78"/>
      <c r="J68" s="79"/>
      <c r="K68" s="79"/>
      <c r="L68" s="79"/>
    </row>
    <row r="69" spans="1:12" s="80" customFormat="1" ht="22.7" customHeight="1">
      <c r="A69" s="74"/>
      <c r="B69" s="74"/>
      <c r="C69" s="81" t="s">
        <v>223</v>
      </c>
      <c r="D69" s="82"/>
      <c r="E69" s="83"/>
      <c r="F69" s="83"/>
      <c r="G69" s="83"/>
      <c r="H69" s="83"/>
    </row>
    <row r="70" spans="1:12" s="80" customFormat="1" ht="66">
      <c r="A70" s="74">
        <v>1045</v>
      </c>
      <c r="B70" s="74">
        <v>32001</v>
      </c>
      <c r="C70" s="84" t="s">
        <v>99</v>
      </c>
      <c r="D70" s="76">
        <f>+E70+F70+G70+H70</f>
        <v>-344904.29999999993</v>
      </c>
      <c r="E70" s="76">
        <f>+E72+E75+E77+E79+E81</f>
        <v>0</v>
      </c>
      <c r="F70" s="76">
        <f t="shared" ref="F70:H70" si="12">+F72+F75+F77+F79+F81</f>
        <v>-417744.79999999993</v>
      </c>
      <c r="G70" s="76">
        <f t="shared" si="12"/>
        <v>72840.5</v>
      </c>
      <c r="H70" s="76">
        <f t="shared" si="12"/>
        <v>0</v>
      </c>
    </row>
    <row r="71" spans="1:12" s="80" customFormat="1" ht="20.45" customHeight="1">
      <c r="A71" s="85"/>
      <c r="B71" s="85"/>
      <c r="C71" s="86" t="s">
        <v>224</v>
      </c>
      <c r="D71" s="87"/>
      <c r="E71" s="88"/>
      <c r="F71" s="88"/>
      <c r="G71" s="88"/>
      <c r="H71" s="88"/>
    </row>
    <row r="72" spans="1:12" s="80" customFormat="1">
      <c r="A72" s="85"/>
      <c r="B72" s="85"/>
      <c r="C72" s="89" t="s">
        <v>225</v>
      </c>
      <c r="D72" s="90">
        <f>SUM(E72:H72)</f>
        <v>52321.800000000047</v>
      </c>
      <c r="E72" s="91">
        <f>+E73+E74</f>
        <v>0</v>
      </c>
      <c r="F72" s="91">
        <f t="shared" ref="F72:H72" si="13">+F73+F74</f>
        <v>21769.800000000047</v>
      </c>
      <c r="G72" s="91">
        <f t="shared" si="13"/>
        <v>30552</v>
      </c>
      <c r="H72" s="91">
        <f t="shared" si="13"/>
        <v>0</v>
      </c>
    </row>
    <row r="73" spans="1:12" s="80" customFormat="1" ht="33">
      <c r="A73" s="92"/>
      <c r="B73" s="92"/>
      <c r="C73" s="93" t="s">
        <v>226</v>
      </c>
      <c r="D73" s="94">
        <f>+E73+F73+G73+H73</f>
        <v>21769.800000000047</v>
      </c>
      <c r="E73" s="95"/>
      <c r="F73" s="95">
        <f>360032.9-338263.1</f>
        <v>21769.800000000047</v>
      </c>
      <c r="G73" s="95"/>
      <c r="H73" s="96"/>
    </row>
    <row r="74" spans="1:12" s="101" customFormat="1" ht="33">
      <c r="A74" s="97"/>
      <c r="B74" s="97"/>
      <c r="C74" s="93" t="s">
        <v>227</v>
      </c>
      <c r="D74" s="98">
        <f>+E74+F74+G74+H74</f>
        <v>30552</v>
      </c>
      <c r="E74" s="99"/>
      <c r="F74" s="99"/>
      <c r="G74" s="99">
        <f>28822.6+1729.4</f>
        <v>30552</v>
      </c>
      <c r="H74" s="100"/>
    </row>
    <row r="75" spans="1:12" s="104" customFormat="1" ht="21" customHeight="1">
      <c r="A75" s="50"/>
      <c r="B75" s="50"/>
      <c r="C75" s="89" t="s">
        <v>228</v>
      </c>
      <c r="D75" s="102">
        <f>SUM(E75:H75)</f>
        <v>-442570.3</v>
      </c>
      <c r="E75" s="103">
        <f>+E76</f>
        <v>0</v>
      </c>
      <c r="F75" s="103">
        <f>+F76</f>
        <v>-442570.3</v>
      </c>
      <c r="G75" s="103">
        <f>+G76</f>
        <v>0</v>
      </c>
      <c r="H75" s="103">
        <f>+H76</f>
        <v>0</v>
      </c>
    </row>
    <row r="76" spans="1:12" s="105" customFormat="1">
      <c r="A76" s="61"/>
      <c r="B76" s="61"/>
      <c r="C76" s="93" t="s">
        <v>229</v>
      </c>
      <c r="D76" s="98">
        <f>+E76+F76+G76+H76</f>
        <v>-442570.3</v>
      </c>
      <c r="E76" s="98"/>
      <c r="F76" s="98">
        <v>-442570.3</v>
      </c>
      <c r="G76" s="98"/>
      <c r="H76" s="98"/>
    </row>
    <row r="77" spans="1:12" s="80" customFormat="1">
      <c r="A77" s="85"/>
      <c r="B77" s="85"/>
      <c r="C77" s="89" t="s">
        <v>230</v>
      </c>
      <c r="D77" s="90">
        <f>SUM(E77:H77)</f>
        <v>45344.1</v>
      </c>
      <c r="E77" s="91">
        <f>+E78</f>
        <v>0</v>
      </c>
      <c r="F77" s="91">
        <f>+F78</f>
        <v>0</v>
      </c>
      <c r="G77" s="91">
        <f>+G78</f>
        <v>45344.1</v>
      </c>
      <c r="H77" s="91">
        <f>+H78</f>
        <v>0</v>
      </c>
    </row>
    <row r="78" spans="1:12" s="80" customFormat="1">
      <c r="A78" s="85"/>
      <c r="B78" s="85"/>
      <c r="C78" s="106" t="s">
        <v>231</v>
      </c>
      <c r="D78" s="94">
        <f>+E78+F78+G78+H78</f>
        <v>45344.1</v>
      </c>
      <c r="E78" s="95"/>
      <c r="F78" s="95"/>
      <c r="G78" s="95">
        <v>45344.1</v>
      </c>
      <c r="H78" s="107"/>
    </row>
    <row r="79" spans="1:12" s="80" customFormat="1">
      <c r="A79" s="85"/>
      <c r="B79" s="85"/>
      <c r="C79" s="89" t="s">
        <v>232</v>
      </c>
      <c r="D79" s="90">
        <f>SUM(E79:H79)</f>
        <v>3055.7000000000116</v>
      </c>
      <c r="E79" s="91">
        <f>+E80</f>
        <v>0</v>
      </c>
      <c r="F79" s="91">
        <f>+F80</f>
        <v>3055.7000000000116</v>
      </c>
      <c r="G79" s="91">
        <f>+G80</f>
        <v>0</v>
      </c>
      <c r="H79" s="91">
        <f>+H80</f>
        <v>0</v>
      </c>
    </row>
    <row r="80" spans="1:12" s="80" customFormat="1" ht="33">
      <c r="A80" s="85"/>
      <c r="B80" s="85"/>
      <c r="C80" s="106" t="s">
        <v>233</v>
      </c>
      <c r="D80" s="94">
        <f>+E80+F80+G80+H80</f>
        <v>3055.7000000000116</v>
      </c>
      <c r="E80" s="95"/>
      <c r="F80" s="95">
        <f>157390.2-154334.5</f>
        <v>3055.7000000000116</v>
      </c>
      <c r="G80" s="95"/>
      <c r="H80" s="107"/>
    </row>
    <row r="81" spans="1:8" s="80" customFormat="1">
      <c r="A81" s="85"/>
      <c r="B81" s="85"/>
      <c r="C81" s="89" t="s">
        <v>234</v>
      </c>
      <c r="D81" s="90">
        <f>SUM(E81:H81)</f>
        <v>-3055.6000000000022</v>
      </c>
      <c r="E81" s="91">
        <f>+E82</f>
        <v>0</v>
      </c>
      <c r="F81" s="91">
        <f t="shared" ref="F81:H81" si="14">+F82</f>
        <v>0</v>
      </c>
      <c r="G81" s="91">
        <f t="shared" si="14"/>
        <v>-3055.6000000000022</v>
      </c>
      <c r="H81" s="91">
        <f t="shared" si="14"/>
        <v>0</v>
      </c>
    </row>
    <row r="82" spans="1:8" s="80" customFormat="1">
      <c r="A82" s="97"/>
      <c r="B82" s="97"/>
      <c r="C82" s="106" t="s">
        <v>235</v>
      </c>
      <c r="D82" s="94">
        <f>+E82+F82+G82+H82</f>
        <v>-3055.6000000000022</v>
      </c>
      <c r="E82" s="95"/>
      <c r="F82" s="95"/>
      <c r="G82" s="95">
        <f>17278.1-20333.7</f>
        <v>-3055.6000000000022</v>
      </c>
      <c r="H82" s="96"/>
    </row>
    <row r="83" spans="1:8" s="80" customFormat="1" ht="49.5">
      <c r="A83" s="74">
        <v>1045</v>
      </c>
      <c r="B83" s="74">
        <v>32005</v>
      </c>
      <c r="C83" s="84" t="s">
        <v>103</v>
      </c>
      <c r="D83" s="76">
        <f>+E83+F83+G83+H83</f>
        <v>-342973.1</v>
      </c>
      <c r="E83" s="76">
        <f>+E85</f>
        <v>-342973.1</v>
      </c>
      <c r="F83" s="76">
        <f t="shared" ref="F83:H83" si="15">+F85</f>
        <v>0</v>
      </c>
      <c r="G83" s="76">
        <f t="shared" si="15"/>
        <v>0</v>
      </c>
      <c r="H83" s="76">
        <f t="shared" si="15"/>
        <v>0</v>
      </c>
    </row>
    <row r="84" spans="1:8" s="80" customFormat="1" ht="22.7" customHeight="1">
      <c r="A84" s="108"/>
      <c r="B84" s="108"/>
      <c r="C84" s="109" t="s">
        <v>224</v>
      </c>
      <c r="D84" s="87"/>
      <c r="E84" s="88"/>
      <c r="F84" s="88"/>
      <c r="G84" s="88"/>
      <c r="H84" s="88"/>
    </row>
    <row r="85" spans="1:8" s="110" customFormat="1" ht="16.899999999999999" customHeight="1">
      <c r="A85" s="85"/>
      <c r="B85" s="85"/>
      <c r="C85" s="89" t="s">
        <v>236</v>
      </c>
      <c r="D85" s="90">
        <f>SUM(E85:H85)</f>
        <v>-342973.1</v>
      </c>
      <c r="E85" s="91">
        <f>+E86</f>
        <v>-342973.1</v>
      </c>
      <c r="F85" s="91">
        <f>+F86</f>
        <v>0</v>
      </c>
      <c r="G85" s="91">
        <f>+G86</f>
        <v>0</v>
      </c>
      <c r="H85" s="91">
        <f>+H86</f>
        <v>0</v>
      </c>
    </row>
    <row r="86" spans="1:8" s="80" customFormat="1" ht="33">
      <c r="A86" s="85"/>
      <c r="B86" s="85"/>
      <c r="C86" s="106" t="s">
        <v>237</v>
      </c>
      <c r="D86" s="94">
        <f>+E86+F86+G86+H86</f>
        <v>-342973.1</v>
      </c>
      <c r="E86" s="95">
        <v>-342973.1</v>
      </c>
      <c r="F86" s="95"/>
      <c r="G86" s="95"/>
      <c r="H86" s="96"/>
    </row>
    <row r="87" spans="1:8" s="101" customFormat="1" ht="42.95" customHeight="1">
      <c r="A87" s="74">
        <v>1075</v>
      </c>
      <c r="B87" s="74">
        <v>21001</v>
      </c>
      <c r="C87" s="84" t="s">
        <v>238</v>
      </c>
      <c r="D87" s="76">
        <f>SUM(E87:H87)</f>
        <v>3.637978807091713E-12</v>
      </c>
      <c r="E87" s="76">
        <f>+E89+E102</f>
        <v>0</v>
      </c>
      <c r="F87" s="76">
        <f>+F89+F102</f>
        <v>-25493.999999999996</v>
      </c>
      <c r="G87" s="76">
        <f>+G89+G102</f>
        <v>25494</v>
      </c>
      <c r="H87" s="76">
        <f>+H89+H102</f>
        <v>0</v>
      </c>
    </row>
    <row r="88" spans="1:8" s="101" customFormat="1">
      <c r="A88" s="74"/>
      <c r="B88" s="74"/>
      <c r="C88" s="81" t="s">
        <v>224</v>
      </c>
      <c r="D88" s="76"/>
      <c r="E88" s="76"/>
      <c r="F88" s="76"/>
      <c r="G88" s="76"/>
      <c r="H88" s="76"/>
    </row>
    <row r="89" spans="1:8" s="113" customFormat="1" ht="21" customHeight="1">
      <c r="A89" s="111"/>
      <c r="B89" s="111"/>
      <c r="C89" s="111" t="s">
        <v>239</v>
      </c>
      <c r="D89" s="112">
        <f>SUM(E89:H89)</f>
        <v>-25493.999999999996</v>
      </c>
      <c r="E89" s="112">
        <f>+E91+E94+E98</f>
        <v>0</v>
      </c>
      <c r="F89" s="112">
        <f t="shared" ref="F89:H89" si="16">+F91+F94+F98</f>
        <v>-25493.999999999996</v>
      </c>
      <c r="G89" s="112">
        <f t="shared" si="16"/>
        <v>0</v>
      </c>
      <c r="H89" s="112">
        <f t="shared" si="16"/>
        <v>0</v>
      </c>
    </row>
    <row r="90" spans="1:8" s="101" customFormat="1">
      <c r="A90" s="74"/>
      <c r="B90" s="74"/>
      <c r="C90" s="114" t="s">
        <v>240</v>
      </c>
      <c r="D90" s="76"/>
      <c r="E90" s="76"/>
      <c r="F90" s="76"/>
      <c r="G90" s="76"/>
      <c r="H90" s="76"/>
    </row>
    <row r="91" spans="1:8" s="113" customFormat="1">
      <c r="A91" s="115"/>
      <c r="B91" s="115"/>
      <c r="C91" s="89" t="s">
        <v>241</v>
      </c>
      <c r="D91" s="116">
        <f t="shared" ref="D91:D97" si="17">SUM(E91:H91)</f>
        <v>54919.299999999996</v>
      </c>
      <c r="E91" s="117">
        <f>+E92+E93</f>
        <v>0</v>
      </c>
      <c r="F91" s="117">
        <f t="shared" ref="F91:H91" si="18">+F92+F93</f>
        <v>54919.299999999996</v>
      </c>
      <c r="G91" s="117">
        <f t="shared" si="18"/>
        <v>0</v>
      </c>
      <c r="H91" s="117">
        <f t="shared" si="18"/>
        <v>0</v>
      </c>
    </row>
    <row r="92" spans="1:8" s="118" customFormat="1" ht="35.450000000000003" customHeight="1">
      <c r="A92" s="192"/>
      <c r="B92" s="192"/>
      <c r="C92" s="93" t="s">
        <v>242</v>
      </c>
      <c r="D92" s="98">
        <f t="shared" si="17"/>
        <v>29476.199999999997</v>
      </c>
      <c r="E92" s="99"/>
      <c r="F92" s="99">
        <f>153041-123564.8</f>
        <v>29476.199999999997</v>
      </c>
      <c r="G92" s="99"/>
      <c r="H92" s="99"/>
    </row>
    <row r="93" spans="1:8" s="118" customFormat="1" ht="69.95" customHeight="1">
      <c r="A93" s="193"/>
      <c r="B93" s="193"/>
      <c r="C93" s="93" t="s">
        <v>243</v>
      </c>
      <c r="D93" s="98">
        <f>SUM(E93:H93)</f>
        <v>25443.1</v>
      </c>
      <c r="E93" s="99"/>
      <c r="F93" s="99">
        <f>20000+5443.1</f>
        <v>25443.1</v>
      </c>
      <c r="G93" s="99"/>
      <c r="H93" s="99"/>
    </row>
    <row r="94" spans="1:8" s="113" customFormat="1">
      <c r="A94" s="115"/>
      <c r="B94" s="115"/>
      <c r="C94" s="89" t="s">
        <v>236</v>
      </c>
      <c r="D94" s="116">
        <f t="shared" si="17"/>
        <v>-51790</v>
      </c>
      <c r="E94" s="117">
        <f>+E95+E96+E97</f>
        <v>0</v>
      </c>
      <c r="F94" s="117">
        <f t="shared" ref="F94:H94" si="19">+F95+F96+F97</f>
        <v>-51790</v>
      </c>
      <c r="G94" s="117">
        <f t="shared" si="19"/>
        <v>0</v>
      </c>
      <c r="H94" s="117">
        <f t="shared" si="19"/>
        <v>0</v>
      </c>
    </row>
    <row r="95" spans="1:8" s="118" customFormat="1" ht="33">
      <c r="A95" s="192"/>
      <c r="B95" s="192"/>
      <c r="C95" s="93" t="s">
        <v>244</v>
      </c>
      <c r="D95" s="98">
        <f t="shared" si="17"/>
        <v>-27369</v>
      </c>
      <c r="E95" s="99"/>
      <c r="F95" s="99">
        <f>102350-30500-20000-7369-71850</f>
        <v>-27369</v>
      </c>
      <c r="G95" s="99"/>
      <c r="H95" s="99"/>
    </row>
    <row r="96" spans="1:8" s="118" customFormat="1" ht="33">
      <c r="A96" s="194"/>
      <c r="B96" s="194"/>
      <c r="C96" s="93" t="s">
        <v>245</v>
      </c>
      <c r="D96" s="98">
        <f t="shared" si="17"/>
        <v>-18977.900000000001</v>
      </c>
      <c r="E96" s="99"/>
      <c r="F96" s="99">
        <f>62160-11748.5+139.7-7369.1-62160</f>
        <v>-18977.900000000001</v>
      </c>
      <c r="G96" s="99"/>
      <c r="H96" s="99"/>
    </row>
    <row r="97" spans="1:9" s="118" customFormat="1" ht="55.5" customHeight="1">
      <c r="A97" s="193"/>
      <c r="B97" s="193"/>
      <c r="C97" s="93" t="s">
        <v>246</v>
      </c>
      <c r="D97" s="98">
        <f t="shared" si="17"/>
        <v>-5443.0999999999985</v>
      </c>
      <c r="E97" s="99"/>
      <c r="F97" s="99">
        <f>53721.3-59164.4</f>
        <v>-5443.0999999999985</v>
      </c>
      <c r="G97" s="99"/>
      <c r="H97" s="99"/>
    </row>
    <row r="98" spans="1:9" s="113" customFormat="1">
      <c r="A98" s="74"/>
      <c r="B98" s="74"/>
      <c r="C98" s="89" t="s">
        <v>247</v>
      </c>
      <c r="D98" s="116">
        <f>SUM(E98:H98)</f>
        <v>-28623.299999999992</v>
      </c>
      <c r="E98" s="117">
        <f>+E99+E100+E101</f>
        <v>0</v>
      </c>
      <c r="F98" s="117">
        <f>+F99+F100+F101</f>
        <v>-28623.299999999992</v>
      </c>
      <c r="G98" s="117">
        <f>+G99+G100+G101</f>
        <v>0</v>
      </c>
      <c r="H98" s="117">
        <f>+H99+H100+H101</f>
        <v>0</v>
      </c>
    </row>
    <row r="99" spans="1:9" s="118" customFormat="1" ht="35.450000000000003" customHeight="1">
      <c r="A99" s="192"/>
      <c r="B99" s="192"/>
      <c r="C99" s="93" t="s">
        <v>248</v>
      </c>
      <c r="D99" s="98">
        <f>SUM(E99:H99)</f>
        <v>-25990.299999999996</v>
      </c>
      <c r="E99" s="99"/>
      <c r="F99" s="99">
        <f>82160-8106.4-4087.5-12747-5874.2-7369.1-69966.1</f>
        <v>-25990.299999999996</v>
      </c>
      <c r="G99" s="99"/>
      <c r="H99" s="99"/>
      <c r="I99" s="119"/>
    </row>
    <row r="100" spans="1:9" s="118" customFormat="1" ht="57.95" customHeight="1">
      <c r="A100" s="194"/>
      <c r="B100" s="194"/>
      <c r="C100" s="93" t="s">
        <v>249</v>
      </c>
      <c r="D100" s="98">
        <f>SUM(E100:H100)</f>
        <v>-25990.199999999997</v>
      </c>
      <c r="E100" s="99"/>
      <c r="F100" s="99">
        <f>82160-8106.4-4087.5-12747-5874.2-7369-69966.1</f>
        <v>-25990.199999999997</v>
      </c>
      <c r="G100" s="99"/>
      <c r="H100" s="99"/>
    </row>
    <row r="101" spans="1:9" s="118" customFormat="1" ht="57.95" customHeight="1">
      <c r="A101" s="193"/>
      <c r="B101" s="193"/>
      <c r="C101" s="93" t="s">
        <v>250</v>
      </c>
      <c r="D101" s="98">
        <f>SUM(E101:H101)</f>
        <v>23357.200000000001</v>
      </c>
      <c r="E101" s="99"/>
      <c r="F101" s="99">
        <v>23357.200000000001</v>
      </c>
      <c r="G101" s="99"/>
      <c r="H101" s="99"/>
    </row>
    <row r="102" spans="1:9" s="113" customFormat="1" ht="46.5" customHeight="1">
      <c r="A102" s="111"/>
      <c r="B102" s="111"/>
      <c r="C102" s="111" t="s">
        <v>251</v>
      </c>
      <c r="D102" s="112">
        <f>SUM(E102:H102)</f>
        <v>25494</v>
      </c>
      <c r="E102" s="112">
        <f>+E104+E107+E109+E111+E113</f>
        <v>0</v>
      </c>
      <c r="F102" s="112">
        <f t="shared" ref="F102:H102" si="20">+F104+F107+F109+F111+F113</f>
        <v>0</v>
      </c>
      <c r="G102" s="112">
        <f t="shared" si="20"/>
        <v>25494</v>
      </c>
      <c r="H102" s="112">
        <f t="shared" si="20"/>
        <v>0</v>
      </c>
    </row>
    <row r="103" spans="1:9" s="101" customFormat="1" ht="24.95" customHeight="1">
      <c r="A103" s="74"/>
      <c r="B103" s="74"/>
      <c r="C103" s="114" t="s">
        <v>240</v>
      </c>
      <c r="D103" s="76"/>
      <c r="E103" s="76"/>
      <c r="F103" s="76"/>
      <c r="G103" s="76"/>
      <c r="H103" s="76"/>
    </row>
    <row r="104" spans="1:9" s="118" customFormat="1" ht="21" customHeight="1">
      <c r="A104" s="120"/>
      <c r="B104" s="120"/>
      <c r="C104" s="89" t="s">
        <v>252</v>
      </c>
      <c r="D104" s="102">
        <f t="shared" ref="D104:D108" si="21">SUM(E104:H104)</f>
        <v>-17547.099999999999</v>
      </c>
      <c r="E104" s="121">
        <f>+E105+E106</f>
        <v>0</v>
      </c>
      <c r="F104" s="121">
        <f t="shared" ref="F104:H104" si="22">+F105+F106</f>
        <v>0</v>
      </c>
      <c r="G104" s="121">
        <f t="shared" si="22"/>
        <v>-17547.099999999999</v>
      </c>
      <c r="H104" s="121">
        <f t="shared" si="22"/>
        <v>0</v>
      </c>
    </row>
    <row r="105" spans="1:9" s="118" customFormat="1" ht="33">
      <c r="A105" s="195"/>
      <c r="B105" s="195"/>
      <c r="C105" s="93" t="s">
        <v>253</v>
      </c>
      <c r="D105" s="98">
        <f t="shared" ref="D105:D106" si="23">SUM(E105:H105)</f>
        <v>-12597.1</v>
      </c>
      <c r="E105" s="99"/>
      <c r="F105" s="99"/>
      <c r="G105" s="99">
        <v>-12597.1</v>
      </c>
      <c r="H105" s="99"/>
    </row>
    <row r="106" spans="1:9" s="118" customFormat="1" ht="49.5">
      <c r="A106" s="196"/>
      <c r="B106" s="196"/>
      <c r="C106" s="93" t="s">
        <v>254</v>
      </c>
      <c r="D106" s="98">
        <f t="shared" si="23"/>
        <v>-4950</v>
      </c>
      <c r="E106" s="99"/>
      <c r="F106" s="99"/>
      <c r="G106" s="99">
        <v>-4950</v>
      </c>
      <c r="H106" s="99"/>
    </row>
    <row r="107" spans="1:9" s="118" customFormat="1" ht="21" customHeight="1">
      <c r="A107" s="120"/>
      <c r="B107" s="120"/>
      <c r="C107" s="89" t="s">
        <v>228</v>
      </c>
      <c r="D107" s="102">
        <f>SUM(E107:H107)</f>
        <v>4950</v>
      </c>
      <c r="E107" s="121">
        <f>+E108</f>
        <v>0</v>
      </c>
      <c r="F107" s="121">
        <f>+F108</f>
        <v>0</v>
      </c>
      <c r="G107" s="121">
        <f>+G108</f>
        <v>4950</v>
      </c>
      <c r="H107" s="121">
        <f>+H108</f>
        <v>0</v>
      </c>
    </row>
    <row r="108" spans="1:9" s="118" customFormat="1" ht="49.5">
      <c r="A108" s="120"/>
      <c r="B108" s="120"/>
      <c r="C108" s="93" t="s">
        <v>254</v>
      </c>
      <c r="D108" s="98">
        <f t="shared" si="21"/>
        <v>4950</v>
      </c>
      <c r="E108" s="99"/>
      <c r="F108" s="99"/>
      <c r="G108" s="99">
        <v>4950</v>
      </c>
      <c r="H108" s="99"/>
    </row>
    <row r="109" spans="1:9" s="113" customFormat="1">
      <c r="A109" s="120"/>
      <c r="B109" s="120"/>
      <c r="C109" s="89" t="s">
        <v>255</v>
      </c>
      <c r="D109" s="116">
        <f t="shared" ref="D109:D114" si="24">SUM(E109:H109)</f>
        <v>14483</v>
      </c>
      <c r="E109" s="117">
        <f>+E110</f>
        <v>0</v>
      </c>
      <c r="F109" s="117">
        <f t="shared" ref="F109:H109" si="25">+F110</f>
        <v>0</v>
      </c>
      <c r="G109" s="117">
        <f t="shared" si="25"/>
        <v>14483</v>
      </c>
      <c r="H109" s="117">
        <f t="shared" si="25"/>
        <v>0</v>
      </c>
    </row>
    <row r="110" spans="1:9" s="118" customFormat="1">
      <c r="A110" s="122"/>
      <c r="B110" s="122"/>
      <c r="C110" s="93" t="s">
        <v>256</v>
      </c>
      <c r="D110" s="98">
        <f>SUM(E110:H110)</f>
        <v>14483</v>
      </c>
      <c r="E110" s="99"/>
      <c r="F110" s="99"/>
      <c r="G110" s="99">
        <v>14483</v>
      </c>
      <c r="H110" s="99"/>
    </row>
    <row r="111" spans="1:9" s="113" customFormat="1">
      <c r="A111" s="120"/>
      <c r="B111" s="120"/>
      <c r="C111" s="89" t="s">
        <v>257</v>
      </c>
      <c r="D111" s="116">
        <f>SUM(E111:H111)</f>
        <v>12597.1</v>
      </c>
      <c r="E111" s="117">
        <f>+E112</f>
        <v>0</v>
      </c>
      <c r="F111" s="117">
        <f>+F112</f>
        <v>0</v>
      </c>
      <c r="G111" s="117">
        <f>+G112</f>
        <v>12597.1</v>
      </c>
      <c r="H111" s="117">
        <f>+H112</f>
        <v>0</v>
      </c>
    </row>
    <row r="112" spans="1:9" s="118" customFormat="1" ht="33">
      <c r="A112" s="123"/>
      <c r="B112" s="123"/>
      <c r="C112" s="93" t="s">
        <v>258</v>
      </c>
      <c r="D112" s="98">
        <f>SUM(E112:H112)</f>
        <v>12597.1</v>
      </c>
      <c r="E112" s="99"/>
      <c r="F112" s="99"/>
      <c r="G112" s="99">
        <v>12597.1</v>
      </c>
      <c r="H112" s="99"/>
    </row>
    <row r="113" spans="1:8" s="118" customFormat="1" ht="21" customHeight="1">
      <c r="A113" s="120"/>
      <c r="B113" s="120"/>
      <c r="C113" s="89" t="s">
        <v>259</v>
      </c>
      <c r="D113" s="102">
        <f t="shared" si="24"/>
        <v>11011</v>
      </c>
      <c r="E113" s="121">
        <f>+E114</f>
        <v>0</v>
      </c>
      <c r="F113" s="121">
        <f t="shared" ref="F113:H113" si="26">+F114</f>
        <v>0</v>
      </c>
      <c r="G113" s="121">
        <f t="shared" si="26"/>
        <v>11011</v>
      </c>
      <c r="H113" s="121">
        <f t="shared" si="26"/>
        <v>0</v>
      </c>
    </row>
    <row r="114" spans="1:8" s="118" customFormat="1" ht="33">
      <c r="A114" s="124"/>
      <c r="B114" s="124"/>
      <c r="C114" s="93" t="s">
        <v>260</v>
      </c>
      <c r="D114" s="98">
        <f t="shared" si="24"/>
        <v>11011</v>
      </c>
      <c r="E114" s="99"/>
      <c r="F114" s="99"/>
      <c r="G114" s="99">
        <v>11011</v>
      </c>
      <c r="H114" s="99"/>
    </row>
    <row r="115" spans="1:8" s="80" customFormat="1" ht="58.7" customHeight="1">
      <c r="A115" s="74">
        <v>1075</v>
      </c>
      <c r="B115" s="74">
        <v>32008</v>
      </c>
      <c r="C115" s="84" t="s">
        <v>261</v>
      </c>
      <c r="D115" s="76">
        <f>+E115+F115+G115+H115</f>
        <v>-27225.100000000002</v>
      </c>
      <c r="E115" s="76">
        <f>+E117</f>
        <v>0</v>
      </c>
      <c r="F115" s="76">
        <f t="shared" ref="F115:H115" si="27">+F117</f>
        <v>0</v>
      </c>
      <c r="G115" s="76">
        <f t="shared" si="27"/>
        <v>0</v>
      </c>
      <c r="H115" s="76">
        <f t="shared" si="27"/>
        <v>-27225.100000000002</v>
      </c>
    </row>
    <row r="116" spans="1:8" s="80" customFormat="1">
      <c r="A116" s="108"/>
      <c r="B116" s="108"/>
      <c r="C116" s="109" t="s">
        <v>224</v>
      </c>
      <c r="D116" s="87"/>
      <c r="E116" s="88"/>
      <c r="F116" s="88"/>
      <c r="G116" s="88"/>
      <c r="H116" s="88"/>
    </row>
    <row r="117" spans="1:8" s="127" customFormat="1" ht="25.5" customHeight="1">
      <c r="A117" s="125"/>
      <c r="B117" s="125"/>
      <c r="C117" s="89" t="s">
        <v>225</v>
      </c>
      <c r="D117" s="126">
        <f>SUM(E117:H117)</f>
        <v>-27225.100000000002</v>
      </c>
      <c r="E117" s="103">
        <f>+E118</f>
        <v>0</v>
      </c>
      <c r="F117" s="103">
        <f t="shared" ref="F117:H117" si="28">+F118</f>
        <v>0</v>
      </c>
      <c r="G117" s="103">
        <f t="shared" si="28"/>
        <v>0</v>
      </c>
      <c r="H117" s="103">
        <f t="shared" si="28"/>
        <v>-27225.100000000002</v>
      </c>
    </row>
    <row r="118" spans="1:8" s="127" customFormat="1" ht="33">
      <c r="A118" s="128"/>
      <c r="B118" s="128"/>
      <c r="C118" s="106" t="s">
        <v>262</v>
      </c>
      <c r="D118" s="94">
        <f t="shared" ref="D118" si="29">+E118+F118+G118+H118</f>
        <v>-27225.100000000002</v>
      </c>
      <c r="E118" s="95"/>
      <c r="F118" s="95"/>
      <c r="G118" s="95"/>
      <c r="H118" s="95">
        <f>21609.3-48834.4</f>
        <v>-27225.100000000002</v>
      </c>
    </row>
    <row r="119" spans="1:8" s="184" customFormat="1" ht="31.7" customHeight="1">
      <c r="A119" s="183">
        <v>1162</v>
      </c>
      <c r="B119" s="183">
        <v>32003</v>
      </c>
      <c r="C119" s="154" t="s">
        <v>263</v>
      </c>
      <c r="D119" s="145">
        <f>+E119+F119+G119+H119</f>
        <v>0</v>
      </c>
      <c r="E119" s="145"/>
      <c r="F119" s="145">
        <v>-940000</v>
      </c>
      <c r="G119" s="145">
        <v>940000</v>
      </c>
      <c r="H119" s="145"/>
    </row>
    <row r="120" spans="1:8" s="80" customFormat="1" ht="31.7" customHeight="1">
      <c r="A120" s="74">
        <v>1163</v>
      </c>
      <c r="B120" s="74">
        <v>32001</v>
      </c>
      <c r="C120" s="84" t="s">
        <v>263</v>
      </c>
      <c r="D120" s="76">
        <f>+E120+F120+G120+H120</f>
        <v>13658.899999999965</v>
      </c>
      <c r="E120" s="76">
        <f>+E122+E127</f>
        <v>-87782.700000000041</v>
      </c>
      <c r="F120" s="76">
        <f t="shared" ref="F120:H120" si="30">+F122+F127</f>
        <v>0</v>
      </c>
      <c r="G120" s="76">
        <f t="shared" si="30"/>
        <v>101441.60000000001</v>
      </c>
      <c r="H120" s="76">
        <f t="shared" si="30"/>
        <v>0</v>
      </c>
    </row>
    <row r="121" spans="1:8" s="80" customFormat="1">
      <c r="A121" s="108"/>
      <c r="B121" s="108"/>
      <c r="C121" s="109" t="s">
        <v>224</v>
      </c>
      <c r="D121" s="87"/>
      <c r="E121" s="88"/>
      <c r="F121" s="88"/>
      <c r="G121" s="88"/>
      <c r="H121" s="88"/>
    </row>
    <row r="122" spans="1:8" s="110" customFormat="1">
      <c r="A122" s="85"/>
      <c r="B122" s="85"/>
      <c r="C122" s="89" t="s">
        <v>225</v>
      </c>
      <c r="D122" s="90">
        <f t="shared" ref="D122:D128" si="31">SUM(E122:H122)</f>
        <v>8902.7999999999593</v>
      </c>
      <c r="E122" s="91">
        <f>+E123+E124+E125+E126</f>
        <v>-87782.700000000041</v>
      </c>
      <c r="F122" s="91">
        <f>+F123+F124+F125+F126</f>
        <v>0</v>
      </c>
      <c r="G122" s="91">
        <f>+G123+G124+G125+G126</f>
        <v>96685.5</v>
      </c>
      <c r="H122" s="91">
        <f>+H123+H124+H125+H126</f>
        <v>0</v>
      </c>
    </row>
    <row r="123" spans="1:8" s="127" customFormat="1" ht="66">
      <c r="A123" s="197"/>
      <c r="B123" s="197"/>
      <c r="C123" s="106" t="s">
        <v>264</v>
      </c>
      <c r="D123" s="94">
        <f t="shared" si="31"/>
        <v>126762.49999999997</v>
      </c>
      <c r="E123" s="95">
        <f>380790.1-254027.6</f>
        <v>126762.49999999997</v>
      </c>
      <c r="F123" s="95"/>
      <c r="G123" s="95"/>
      <c r="H123" s="95"/>
    </row>
    <row r="124" spans="1:8" s="127" customFormat="1" ht="30.95" customHeight="1">
      <c r="A124" s="198"/>
      <c r="B124" s="198"/>
      <c r="C124" s="106" t="s">
        <v>265</v>
      </c>
      <c r="D124" s="94">
        <f t="shared" si="31"/>
        <v>-180525.2</v>
      </c>
      <c r="E124" s="95">
        <v>-214545.2</v>
      </c>
      <c r="F124" s="95"/>
      <c r="G124" s="95">
        <v>34020</v>
      </c>
      <c r="H124" s="95"/>
    </row>
    <row r="125" spans="1:8" s="127" customFormat="1" ht="33">
      <c r="A125" s="198"/>
      <c r="B125" s="198"/>
      <c r="C125" s="106" t="s">
        <v>266</v>
      </c>
      <c r="D125" s="94">
        <f>SUM(E125:H125)</f>
        <v>40909.4</v>
      </c>
      <c r="E125" s="95"/>
      <c r="F125" s="95"/>
      <c r="G125" s="95">
        <v>40909.4</v>
      </c>
      <c r="H125" s="95"/>
    </row>
    <row r="126" spans="1:8" s="127" customFormat="1" ht="33">
      <c r="A126" s="199"/>
      <c r="B126" s="199"/>
      <c r="C126" s="106" t="s">
        <v>267</v>
      </c>
      <c r="D126" s="94">
        <f>SUM(E126:H126)</f>
        <v>21756.1</v>
      </c>
      <c r="E126" s="95"/>
      <c r="F126" s="95"/>
      <c r="G126" s="95">
        <f>20524.6+1231.5</f>
        <v>21756.1</v>
      </c>
      <c r="H126" s="95"/>
    </row>
    <row r="127" spans="1:8" s="110" customFormat="1" ht="24" customHeight="1">
      <c r="A127" s="129"/>
      <c r="B127" s="129"/>
      <c r="C127" s="89" t="s">
        <v>252</v>
      </c>
      <c r="D127" s="90">
        <f t="shared" si="31"/>
        <v>4756.0999999999985</v>
      </c>
      <c r="E127" s="91">
        <f>+E128</f>
        <v>0</v>
      </c>
      <c r="F127" s="91">
        <f>+F128</f>
        <v>0</v>
      </c>
      <c r="G127" s="91">
        <f>+G128</f>
        <v>4756.0999999999985</v>
      </c>
      <c r="H127" s="91">
        <f>+H128</f>
        <v>0</v>
      </c>
    </row>
    <row r="128" spans="1:8" s="127" customFormat="1" ht="33">
      <c r="A128" s="85"/>
      <c r="B128" s="85"/>
      <c r="C128" s="106" t="s">
        <v>268</v>
      </c>
      <c r="D128" s="94">
        <f t="shared" si="31"/>
        <v>4756.0999999999985</v>
      </c>
      <c r="E128" s="95"/>
      <c r="F128" s="95"/>
      <c r="G128" s="95">
        <f>21756.1-17000</f>
        <v>4756.0999999999985</v>
      </c>
      <c r="H128" s="95"/>
    </row>
    <row r="129" spans="1:8" s="80" customFormat="1" ht="36" customHeight="1">
      <c r="A129" s="74">
        <v>1163</v>
      </c>
      <c r="B129" s="74">
        <v>32002</v>
      </c>
      <c r="C129" s="84" t="s">
        <v>269</v>
      </c>
      <c r="D129" s="76">
        <f>+E129+F129+G129+H129</f>
        <v>-21756.099999999977</v>
      </c>
      <c r="E129" s="76">
        <f>+E131</f>
        <v>0</v>
      </c>
      <c r="F129" s="76">
        <f>+F131</f>
        <v>-21756.099999999977</v>
      </c>
      <c r="G129" s="76">
        <f>+G131</f>
        <v>0</v>
      </c>
      <c r="H129" s="76">
        <f>+H131</f>
        <v>0</v>
      </c>
    </row>
    <row r="130" spans="1:8" s="80" customFormat="1">
      <c r="A130" s="108"/>
      <c r="B130" s="108"/>
      <c r="C130" s="109" t="s">
        <v>224</v>
      </c>
      <c r="D130" s="87"/>
      <c r="E130" s="88"/>
      <c r="F130" s="88"/>
      <c r="G130" s="88"/>
      <c r="H130" s="88"/>
    </row>
    <row r="131" spans="1:8" s="127" customFormat="1">
      <c r="A131" s="85"/>
      <c r="B131" s="85"/>
      <c r="C131" s="89" t="s">
        <v>225</v>
      </c>
      <c r="D131" s="126">
        <f>SUM(E131:H131)</f>
        <v>-21756.099999999977</v>
      </c>
      <c r="E131" s="103">
        <f>+E132</f>
        <v>0</v>
      </c>
      <c r="F131" s="103">
        <f>+F132</f>
        <v>-21756.099999999977</v>
      </c>
      <c r="G131" s="103">
        <f>+G132</f>
        <v>0</v>
      </c>
      <c r="H131" s="103">
        <f>+H132</f>
        <v>0</v>
      </c>
    </row>
    <row r="132" spans="1:8" s="127" customFormat="1" ht="46.5" customHeight="1">
      <c r="A132" s="85"/>
      <c r="B132" s="85"/>
      <c r="C132" s="106" t="s">
        <v>270</v>
      </c>
      <c r="D132" s="94">
        <f>SUM(E132:H132)</f>
        <v>-21756.099999999977</v>
      </c>
      <c r="E132" s="95"/>
      <c r="F132" s="95">
        <f>364025.5-21756.1-364025.5</f>
        <v>-21756.099999999977</v>
      </c>
      <c r="G132" s="95"/>
      <c r="H132" s="95"/>
    </row>
    <row r="133" spans="1:8" s="80" customFormat="1" ht="66">
      <c r="A133" s="74">
        <v>1163</v>
      </c>
      <c r="B133" s="74">
        <v>32004</v>
      </c>
      <c r="C133" s="84" t="s">
        <v>271</v>
      </c>
      <c r="D133" s="76">
        <f>+E133+F133+G133+H133</f>
        <v>883350</v>
      </c>
      <c r="E133" s="76">
        <f>+E135</f>
        <v>0</v>
      </c>
      <c r="F133" s="76">
        <f>+F135</f>
        <v>0</v>
      </c>
      <c r="G133" s="76">
        <f>+G135</f>
        <v>0</v>
      </c>
      <c r="H133" s="76">
        <v>883350</v>
      </c>
    </row>
    <row r="134" spans="1:8" s="80" customFormat="1" ht="49.5">
      <c r="A134" s="74">
        <v>1168</v>
      </c>
      <c r="B134" s="74">
        <v>32001</v>
      </c>
      <c r="C134" s="84" t="s">
        <v>272</v>
      </c>
      <c r="D134" s="76">
        <f>+E134+F134+G134+H134</f>
        <v>136756.4</v>
      </c>
      <c r="E134" s="76">
        <f>+E136</f>
        <v>0</v>
      </c>
      <c r="F134" s="76">
        <f t="shared" ref="F134:H134" si="32">+F136</f>
        <v>79831.399999999994</v>
      </c>
      <c r="G134" s="76">
        <f t="shared" si="32"/>
        <v>56925</v>
      </c>
      <c r="H134" s="76">
        <f t="shared" si="32"/>
        <v>0</v>
      </c>
    </row>
    <row r="135" spans="1:8" s="80" customFormat="1" ht="19.5" customHeight="1">
      <c r="A135" s="108"/>
      <c r="B135" s="108"/>
      <c r="C135" s="109" t="s">
        <v>224</v>
      </c>
      <c r="D135" s="87"/>
      <c r="E135" s="88"/>
      <c r="F135" s="88"/>
      <c r="G135" s="88"/>
      <c r="H135" s="88"/>
    </row>
    <row r="136" spans="1:8" s="127" customFormat="1" ht="24" customHeight="1">
      <c r="A136" s="125"/>
      <c r="B136" s="130"/>
      <c r="C136" s="89" t="s">
        <v>225</v>
      </c>
      <c r="D136" s="126">
        <f t="shared" ref="D136:D137" si="33">SUM(E136:H136)</f>
        <v>136756.4</v>
      </c>
      <c r="E136" s="103">
        <f>+E137+E138</f>
        <v>0</v>
      </c>
      <c r="F136" s="103">
        <f t="shared" ref="F136:H136" si="34">+F137+F138</f>
        <v>79831.399999999994</v>
      </c>
      <c r="G136" s="103">
        <f t="shared" si="34"/>
        <v>56925</v>
      </c>
      <c r="H136" s="103">
        <f t="shared" si="34"/>
        <v>0</v>
      </c>
    </row>
    <row r="137" spans="1:8" s="127" customFormat="1" ht="33">
      <c r="A137" s="198"/>
      <c r="B137" s="198"/>
      <c r="C137" s="106" t="s">
        <v>273</v>
      </c>
      <c r="D137" s="94">
        <f t="shared" si="33"/>
        <v>79831.399999999994</v>
      </c>
      <c r="E137" s="95"/>
      <c r="F137" s="95">
        <v>79831.399999999994</v>
      </c>
      <c r="G137" s="95"/>
      <c r="H137" s="95"/>
    </row>
    <row r="138" spans="1:8" s="127" customFormat="1" ht="33">
      <c r="A138" s="199"/>
      <c r="B138" s="199"/>
      <c r="C138" s="93" t="s">
        <v>274</v>
      </c>
      <c r="D138" s="94">
        <f>SUM(E138:H138)</f>
        <v>56925</v>
      </c>
      <c r="E138" s="95"/>
      <c r="F138" s="95"/>
      <c r="G138" s="95">
        <f>55000+1925</f>
        <v>56925</v>
      </c>
      <c r="H138" s="95"/>
    </row>
    <row r="139" spans="1:8" s="80" customFormat="1">
      <c r="A139" s="74">
        <v>1168</v>
      </c>
      <c r="B139" s="74">
        <v>32008</v>
      </c>
      <c r="C139" s="84" t="s">
        <v>275</v>
      </c>
      <c r="D139" s="76">
        <f>+E139+F139+G139+H139</f>
        <v>0</v>
      </c>
      <c r="E139" s="76">
        <f>+E141</f>
        <v>0</v>
      </c>
      <c r="F139" s="76">
        <f>+F141</f>
        <v>0</v>
      </c>
      <c r="G139" s="76">
        <f>+G141</f>
        <v>0</v>
      </c>
      <c r="H139" s="76">
        <f>+H141</f>
        <v>0</v>
      </c>
    </row>
    <row r="140" spans="1:8" s="80" customFormat="1" ht="19.5" customHeight="1">
      <c r="A140" s="108"/>
      <c r="B140" s="108"/>
      <c r="C140" s="109" t="s">
        <v>224</v>
      </c>
      <c r="D140" s="87"/>
      <c r="E140" s="88"/>
      <c r="F140" s="88"/>
      <c r="G140" s="88"/>
      <c r="H140" s="88"/>
    </row>
    <row r="141" spans="1:8" s="127" customFormat="1" ht="24" customHeight="1">
      <c r="A141" s="125"/>
      <c r="B141" s="130"/>
      <c r="C141" s="89" t="s">
        <v>225</v>
      </c>
      <c r="D141" s="126">
        <f>SUM(E141:H141)</f>
        <v>0</v>
      </c>
      <c r="E141" s="103">
        <f>+E142+E143</f>
        <v>0</v>
      </c>
      <c r="F141" s="103">
        <f t="shared" ref="F141:H141" si="35">+F142+F143</f>
        <v>0</v>
      </c>
      <c r="G141" s="103">
        <f t="shared" si="35"/>
        <v>0</v>
      </c>
      <c r="H141" s="103">
        <f t="shared" si="35"/>
        <v>0</v>
      </c>
    </row>
    <row r="142" spans="1:8" s="127" customFormat="1">
      <c r="A142" s="197"/>
      <c r="B142" s="197"/>
      <c r="C142" s="106" t="s">
        <v>276</v>
      </c>
      <c r="D142" s="94">
        <f>SUM(E142:H142)</f>
        <v>23000</v>
      </c>
      <c r="E142" s="95"/>
      <c r="F142" s="95"/>
      <c r="G142" s="95"/>
      <c r="H142" s="95">
        <f>103000-80000</f>
        <v>23000</v>
      </c>
    </row>
    <row r="143" spans="1:8" s="127" customFormat="1" ht="17.850000000000001" customHeight="1">
      <c r="A143" s="198"/>
      <c r="B143" s="198"/>
      <c r="C143" s="106" t="s">
        <v>277</v>
      </c>
      <c r="D143" s="94">
        <f>SUM(E143:H143)</f>
        <v>-23000</v>
      </c>
      <c r="E143" s="95"/>
      <c r="F143" s="95"/>
      <c r="G143" s="95"/>
      <c r="H143" s="95">
        <f>103000-126000</f>
        <v>-23000</v>
      </c>
    </row>
    <row r="144" spans="1:8" s="80" customFormat="1" ht="45" customHeight="1">
      <c r="A144" s="74">
        <v>1183</v>
      </c>
      <c r="B144" s="74">
        <v>32002</v>
      </c>
      <c r="C144" s="84" t="s">
        <v>278</v>
      </c>
      <c r="D144" s="76">
        <f>SUM(E144:H144)</f>
        <v>90587.1</v>
      </c>
      <c r="E144" s="76">
        <f>+E146</f>
        <v>0</v>
      </c>
      <c r="F144" s="76">
        <f>+F146</f>
        <v>0</v>
      </c>
      <c r="G144" s="76">
        <f>+G146</f>
        <v>90587.1</v>
      </c>
      <c r="H144" s="76">
        <f>+H146</f>
        <v>0</v>
      </c>
    </row>
    <row r="145" spans="1:8" s="80" customFormat="1">
      <c r="A145" s="108"/>
      <c r="B145" s="108"/>
      <c r="C145" s="109" t="s">
        <v>224</v>
      </c>
      <c r="D145" s="131"/>
      <c r="E145" s="132"/>
      <c r="F145" s="132"/>
      <c r="G145" s="132"/>
      <c r="H145" s="132"/>
    </row>
    <row r="146" spans="1:8" s="110" customFormat="1">
      <c r="A146" s="85"/>
      <c r="B146" s="85"/>
      <c r="C146" s="89" t="s">
        <v>225</v>
      </c>
      <c r="D146" s="90">
        <f>SUM(E146:H146)</f>
        <v>90587.1</v>
      </c>
      <c r="E146" s="91">
        <f>+E147+E148</f>
        <v>0</v>
      </c>
      <c r="F146" s="91">
        <f t="shared" ref="F146:H146" si="36">+F147+F148</f>
        <v>0</v>
      </c>
      <c r="G146" s="91">
        <f t="shared" si="36"/>
        <v>90587.1</v>
      </c>
      <c r="H146" s="91">
        <f t="shared" si="36"/>
        <v>0</v>
      </c>
    </row>
    <row r="147" spans="1:8" s="118" customFormat="1">
      <c r="A147" s="198"/>
      <c r="B147" s="198"/>
      <c r="C147" s="133" t="s">
        <v>279</v>
      </c>
      <c r="D147" s="98">
        <f>+E147+F147+G147+H147</f>
        <v>38237.699999999997</v>
      </c>
      <c r="E147" s="99"/>
      <c r="F147" s="99"/>
      <c r="G147" s="99">
        <v>38237.699999999997</v>
      </c>
      <c r="H147" s="100"/>
    </row>
    <row r="148" spans="1:8" s="118" customFormat="1">
      <c r="A148" s="199"/>
      <c r="B148" s="199"/>
      <c r="C148" s="133" t="s">
        <v>280</v>
      </c>
      <c r="D148" s="98">
        <f>+E148+F148+G148+H148</f>
        <v>52349.4</v>
      </c>
      <c r="E148" s="99"/>
      <c r="F148" s="99"/>
      <c r="G148" s="99">
        <v>52349.4</v>
      </c>
      <c r="H148" s="100"/>
    </row>
    <row r="149" spans="1:8" s="80" customFormat="1" ht="49.5">
      <c r="A149" s="74">
        <v>1183</v>
      </c>
      <c r="B149" s="74">
        <v>32004</v>
      </c>
      <c r="C149" s="84" t="s">
        <v>281</v>
      </c>
      <c r="D149" s="76">
        <f>SUM(E149:H149)</f>
        <v>128576.8</v>
      </c>
      <c r="E149" s="76">
        <f>+E151+E153+E155</f>
        <v>0</v>
      </c>
      <c r="F149" s="76">
        <f>+F151+F153+F155</f>
        <v>103013.1</v>
      </c>
      <c r="G149" s="76">
        <f>+G151+G153+G155</f>
        <v>25563.7</v>
      </c>
      <c r="H149" s="76">
        <f>+H151+H153+H155</f>
        <v>0</v>
      </c>
    </row>
    <row r="150" spans="1:8" s="80" customFormat="1">
      <c r="A150" s="108"/>
      <c r="B150" s="108"/>
      <c r="C150" s="109" t="s">
        <v>224</v>
      </c>
      <c r="D150" s="131"/>
      <c r="E150" s="132"/>
      <c r="F150" s="132"/>
      <c r="G150" s="132"/>
      <c r="H150" s="132"/>
    </row>
    <row r="151" spans="1:8" s="110" customFormat="1">
      <c r="A151" s="85"/>
      <c r="B151" s="85"/>
      <c r="C151" s="89" t="s">
        <v>236</v>
      </c>
      <c r="D151" s="90">
        <f>SUM(E151:H151)</f>
        <v>49458.7</v>
      </c>
      <c r="E151" s="91">
        <f>+E152</f>
        <v>0</v>
      </c>
      <c r="F151" s="91">
        <f>+F152</f>
        <v>49458.7</v>
      </c>
      <c r="G151" s="91">
        <f>+G152</f>
        <v>0</v>
      </c>
      <c r="H151" s="91">
        <f>+H152</f>
        <v>0</v>
      </c>
    </row>
    <row r="152" spans="1:8" s="127" customFormat="1" ht="33">
      <c r="A152" s="97"/>
      <c r="B152" s="97"/>
      <c r="C152" s="106" t="s">
        <v>282</v>
      </c>
      <c r="D152" s="94">
        <f>+E152+F152+G152+H152</f>
        <v>49458.7</v>
      </c>
      <c r="E152" s="95"/>
      <c r="F152" s="95">
        <v>49458.7</v>
      </c>
      <c r="G152" s="95"/>
      <c r="H152" s="96"/>
    </row>
    <row r="153" spans="1:8" s="110" customFormat="1">
      <c r="A153" s="85"/>
      <c r="B153" s="85"/>
      <c r="C153" s="89" t="s">
        <v>234</v>
      </c>
      <c r="D153" s="90">
        <f>SUM(E153:H153)</f>
        <v>53554.400000000001</v>
      </c>
      <c r="E153" s="91">
        <f>+E154</f>
        <v>0</v>
      </c>
      <c r="F153" s="91">
        <f t="shared" ref="F153:H155" si="37">+F154</f>
        <v>53554.400000000001</v>
      </c>
      <c r="G153" s="91">
        <f t="shared" si="37"/>
        <v>0</v>
      </c>
      <c r="H153" s="91">
        <f t="shared" si="37"/>
        <v>0</v>
      </c>
    </row>
    <row r="154" spans="1:8" s="118" customFormat="1">
      <c r="A154" s="97"/>
      <c r="B154" s="97"/>
      <c r="C154" s="133" t="s">
        <v>283</v>
      </c>
      <c r="D154" s="98">
        <f>+E154+F154+G154+H154</f>
        <v>53554.400000000001</v>
      </c>
      <c r="E154" s="99"/>
      <c r="F154" s="99">
        <v>53554.400000000001</v>
      </c>
      <c r="G154" s="99"/>
      <c r="H154" s="100"/>
    </row>
    <row r="155" spans="1:8" s="110" customFormat="1">
      <c r="A155" s="85"/>
      <c r="B155" s="85"/>
      <c r="C155" s="89" t="s">
        <v>257</v>
      </c>
      <c r="D155" s="90">
        <f>SUM(E155:H155)</f>
        <v>25563.7</v>
      </c>
      <c r="E155" s="91">
        <f>+E156</f>
        <v>0</v>
      </c>
      <c r="F155" s="91">
        <f t="shared" si="37"/>
        <v>0</v>
      </c>
      <c r="G155" s="91">
        <f t="shared" si="37"/>
        <v>25563.7</v>
      </c>
      <c r="H155" s="91">
        <f t="shared" si="37"/>
        <v>0</v>
      </c>
    </row>
    <row r="156" spans="1:8" s="118" customFormat="1">
      <c r="A156" s="123"/>
      <c r="B156" s="123"/>
      <c r="C156" s="133" t="s">
        <v>284</v>
      </c>
      <c r="D156" s="98">
        <f>+E156+F156+G156+H156</f>
        <v>25563.7</v>
      </c>
      <c r="E156" s="99"/>
      <c r="F156" s="99"/>
      <c r="G156" s="99">
        <v>25563.7</v>
      </c>
      <c r="H156" s="100"/>
    </row>
    <row r="157" spans="1:8" s="80" customFormat="1" ht="52.5" customHeight="1">
      <c r="A157" s="74">
        <v>1183</v>
      </c>
      <c r="B157" s="74">
        <v>32007</v>
      </c>
      <c r="C157" s="84" t="s">
        <v>285</v>
      </c>
      <c r="D157" s="76">
        <f>SUM(E157:H157)</f>
        <v>14175</v>
      </c>
      <c r="E157" s="76">
        <f>+E159+E161+E163+E165</f>
        <v>-1080</v>
      </c>
      <c r="F157" s="76">
        <f t="shared" ref="F157:H157" si="38">+F159+F161+F163+F165</f>
        <v>0</v>
      </c>
      <c r="G157" s="76">
        <f t="shared" si="38"/>
        <v>15255</v>
      </c>
      <c r="H157" s="76">
        <f t="shared" si="38"/>
        <v>0</v>
      </c>
    </row>
    <row r="158" spans="1:8" s="80" customFormat="1" ht="20.25" customHeight="1">
      <c r="A158" s="108"/>
      <c r="B158" s="108"/>
      <c r="C158" s="109" t="s">
        <v>224</v>
      </c>
      <c r="D158" s="131"/>
      <c r="E158" s="132"/>
      <c r="F158" s="132"/>
      <c r="G158" s="132"/>
      <c r="H158" s="88"/>
    </row>
    <row r="159" spans="1:8" s="113" customFormat="1" ht="20.25" customHeight="1">
      <c r="A159" s="120"/>
      <c r="B159" s="120"/>
      <c r="C159" s="89" t="s">
        <v>230</v>
      </c>
      <c r="D159" s="116">
        <f>SUM(E159:H159)</f>
        <v>5085</v>
      </c>
      <c r="E159" s="117">
        <f>+E160</f>
        <v>0</v>
      </c>
      <c r="F159" s="117">
        <f>+F160</f>
        <v>0</v>
      </c>
      <c r="G159" s="117">
        <f>+G160</f>
        <v>5085</v>
      </c>
      <c r="H159" s="117">
        <f>+H160</f>
        <v>0</v>
      </c>
    </row>
    <row r="160" spans="1:8" s="118" customFormat="1" ht="20.25" customHeight="1">
      <c r="A160" s="120"/>
      <c r="B160" s="120"/>
      <c r="C160" s="93" t="s">
        <v>286</v>
      </c>
      <c r="D160" s="98">
        <f>+E160+F160+G160+H160</f>
        <v>5085</v>
      </c>
      <c r="E160" s="99"/>
      <c r="F160" s="99"/>
      <c r="G160" s="99">
        <f>4605+480</f>
        <v>5085</v>
      </c>
      <c r="H160" s="100"/>
    </row>
    <row r="161" spans="1:10" s="113" customFormat="1" ht="20.25" customHeight="1">
      <c r="A161" s="120"/>
      <c r="B161" s="120"/>
      <c r="C161" s="89" t="s">
        <v>255</v>
      </c>
      <c r="D161" s="116">
        <f>SUM(E161:H161)</f>
        <v>-1080</v>
      </c>
      <c r="E161" s="117">
        <f>+E162</f>
        <v>-1080</v>
      </c>
      <c r="F161" s="117">
        <f>+F162</f>
        <v>0</v>
      </c>
      <c r="G161" s="117">
        <f>+G162</f>
        <v>0</v>
      </c>
      <c r="H161" s="117">
        <f>+H162</f>
        <v>0</v>
      </c>
    </row>
    <row r="162" spans="1:10" s="118" customFormat="1" ht="20.25" customHeight="1">
      <c r="A162" s="120"/>
      <c r="B162" s="120"/>
      <c r="C162" s="93" t="s">
        <v>287</v>
      </c>
      <c r="D162" s="98">
        <f>+E162+F162+G162+H162</f>
        <v>-1080</v>
      </c>
      <c r="E162" s="99">
        <f>106846.9-107926.9</f>
        <v>-1080</v>
      </c>
      <c r="F162" s="99"/>
      <c r="G162" s="99"/>
      <c r="H162" s="100"/>
    </row>
    <row r="163" spans="1:10" s="113" customFormat="1" ht="20.25" customHeight="1">
      <c r="A163" s="120"/>
      <c r="B163" s="120"/>
      <c r="C163" s="89" t="s">
        <v>234</v>
      </c>
      <c r="D163" s="116">
        <f>SUM(E163:H163)</f>
        <v>5085</v>
      </c>
      <c r="E163" s="117">
        <f>+E164</f>
        <v>0</v>
      </c>
      <c r="F163" s="117">
        <f t="shared" ref="F163:H163" si="39">+F164</f>
        <v>0</v>
      </c>
      <c r="G163" s="117">
        <f t="shared" si="39"/>
        <v>5085</v>
      </c>
      <c r="H163" s="117">
        <f t="shared" si="39"/>
        <v>0</v>
      </c>
    </row>
    <row r="164" spans="1:10" s="118" customFormat="1" ht="20.25" customHeight="1">
      <c r="A164" s="123"/>
      <c r="B164" s="123"/>
      <c r="C164" s="93" t="s">
        <v>288</v>
      </c>
      <c r="D164" s="98">
        <f>+E164+F164+G164+H164</f>
        <v>5085</v>
      </c>
      <c r="E164" s="99"/>
      <c r="F164" s="99"/>
      <c r="G164" s="99">
        <f>4605+480</f>
        <v>5085</v>
      </c>
      <c r="H164" s="100"/>
    </row>
    <row r="165" spans="1:10" s="113" customFormat="1" ht="20.25" customHeight="1">
      <c r="A165" s="120"/>
      <c r="B165" s="120"/>
      <c r="C165" s="89" t="s">
        <v>257</v>
      </c>
      <c r="D165" s="116">
        <f>SUM(E165:H165)</f>
        <v>5085</v>
      </c>
      <c r="E165" s="117">
        <f>+E166</f>
        <v>0</v>
      </c>
      <c r="F165" s="117">
        <f>+F166</f>
        <v>0</v>
      </c>
      <c r="G165" s="117">
        <f>+G166</f>
        <v>5085</v>
      </c>
      <c r="H165" s="117">
        <f>+H166</f>
        <v>0</v>
      </c>
    </row>
    <row r="166" spans="1:10" s="118" customFormat="1" ht="20.25" customHeight="1">
      <c r="A166" s="123"/>
      <c r="B166" s="123"/>
      <c r="C166" s="93" t="s">
        <v>289</v>
      </c>
      <c r="D166" s="98">
        <f>+E166+F166+G166+H166</f>
        <v>5085</v>
      </c>
      <c r="E166" s="99"/>
      <c r="F166" s="99"/>
      <c r="G166" s="99">
        <f>4605+480</f>
        <v>5085</v>
      </c>
      <c r="H166" s="100"/>
    </row>
    <row r="167" spans="1:10" s="101" customFormat="1" ht="59.65" customHeight="1">
      <c r="A167" s="74">
        <v>1183</v>
      </c>
      <c r="B167" s="74">
        <v>32009</v>
      </c>
      <c r="C167" s="84" t="s">
        <v>290</v>
      </c>
      <c r="D167" s="76">
        <f>SUM(E167:H167)</f>
        <v>297388.60000000003</v>
      </c>
      <c r="E167" s="76">
        <f>+E169+E172</f>
        <v>0</v>
      </c>
      <c r="F167" s="76">
        <f t="shared" ref="F167:H167" si="40">+F169+F172</f>
        <v>297388.60000000003</v>
      </c>
      <c r="G167" s="76">
        <f t="shared" si="40"/>
        <v>0</v>
      </c>
      <c r="H167" s="76">
        <f t="shared" si="40"/>
        <v>0</v>
      </c>
    </row>
    <row r="168" spans="1:10" s="101" customFormat="1" ht="21" customHeight="1">
      <c r="A168" s="134"/>
      <c r="B168" s="134"/>
      <c r="C168" s="135" t="s">
        <v>224</v>
      </c>
      <c r="D168" s="136"/>
      <c r="E168" s="137"/>
      <c r="F168" s="137"/>
      <c r="G168" s="137"/>
      <c r="H168" s="138"/>
    </row>
    <row r="169" spans="1:10" s="113" customFormat="1" ht="32.25" customHeight="1">
      <c r="A169" s="200"/>
      <c r="B169" s="200"/>
      <c r="C169" s="89" t="s">
        <v>225</v>
      </c>
      <c r="D169" s="102">
        <f>SUM(E169:H169)</f>
        <v>208536.50000000003</v>
      </c>
      <c r="E169" s="121">
        <f>+E170+E171</f>
        <v>0</v>
      </c>
      <c r="F169" s="121">
        <f>+F170+F171</f>
        <v>208536.50000000003</v>
      </c>
      <c r="G169" s="121">
        <f>+G170+G171</f>
        <v>0</v>
      </c>
      <c r="H169" s="121">
        <f>+H170+H171</f>
        <v>0</v>
      </c>
    </row>
    <row r="170" spans="1:10" s="118" customFormat="1" ht="32.25" customHeight="1">
      <c r="A170" s="200"/>
      <c r="B170" s="200"/>
      <c r="C170" s="93" t="s">
        <v>291</v>
      </c>
      <c r="D170" s="98">
        <f>+E170+F170+G170+H170</f>
        <v>135423.70000000001</v>
      </c>
      <c r="E170" s="99"/>
      <c r="F170" s="99">
        <f>273964.2-138540.5</f>
        <v>135423.70000000001</v>
      </c>
      <c r="G170" s="99"/>
      <c r="H170" s="100"/>
    </row>
    <row r="171" spans="1:10" s="118" customFormat="1" ht="32.25" customHeight="1">
      <c r="A171" s="200"/>
      <c r="B171" s="200"/>
      <c r="C171" s="93" t="s">
        <v>292</v>
      </c>
      <c r="D171" s="98">
        <f>+E171+F171+G171+H171</f>
        <v>73112.800000000017</v>
      </c>
      <c r="E171" s="99"/>
      <c r="F171" s="99">
        <f>152195.2-79082.4</f>
        <v>73112.800000000017</v>
      </c>
      <c r="G171" s="99"/>
      <c r="H171" s="100"/>
    </row>
    <row r="172" spans="1:10" s="113" customFormat="1" ht="32.25" customHeight="1">
      <c r="A172" s="200"/>
      <c r="B172" s="200"/>
      <c r="C172" s="89" t="s">
        <v>236</v>
      </c>
      <c r="D172" s="116">
        <f>SUM(E172:H172)</f>
        <v>88852.1</v>
      </c>
      <c r="E172" s="117">
        <f>+E173</f>
        <v>0</v>
      </c>
      <c r="F172" s="117">
        <f>+F173</f>
        <v>88852.1</v>
      </c>
      <c r="G172" s="117">
        <f>+G173</f>
        <v>0</v>
      </c>
      <c r="H172" s="117">
        <f>+H173</f>
        <v>0</v>
      </c>
    </row>
    <row r="173" spans="1:10" s="118" customFormat="1" ht="32.25" customHeight="1">
      <c r="A173" s="200"/>
      <c r="B173" s="200"/>
      <c r="C173" s="93" t="s">
        <v>293</v>
      </c>
      <c r="D173" s="98">
        <f>+E173+F173+G173+H173</f>
        <v>88852.1</v>
      </c>
      <c r="E173" s="99"/>
      <c r="F173" s="99">
        <f>153771.1-64919</f>
        <v>88852.1</v>
      </c>
      <c r="G173" s="99"/>
      <c r="H173" s="100"/>
    </row>
    <row r="174" spans="1:10" s="101" customFormat="1" ht="28.5" customHeight="1">
      <c r="A174" s="74">
        <v>1236</v>
      </c>
      <c r="B174" s="74">
        <v>32001</v>
      </c>
      <c r="C174" s="84" t="s">
        <v>294</v>
      </c>
      <c r="D174" s="76">
        <f>SUM(E174:H174)</f>
        <v>-1163822.6000000001</v>
      </c>
      <c r="E174" s="76">
        <f>+E176+E178+E184+E186+E191+E194+E196</f>
        <v>-1163822.6000000001</v>
      </c>
      <c r="F174" s="76">
        <f t="shared" ref="F174:H174" si="41">+F176+F178+F184+F186+F191+F194+F196</f>
        <v>0</v>
      </c>
      <c r="G174" s="76">
        <f t="shared" si="41"/>
        <v>0</v>
      </c>
      <c r="H174" s="76">
        <f t="shared" si="41"/>
        <v>0</v>
      </c>
      <c r="I174" s="139"/>
      <c r="J174" s="140"/>
    </row>
    <row r="175" spans="1:10" s="101" customFormat="1">
      <c r="A175" s="134"/>
      <c r="B175" s="134"/>
      <c r="C175" s="135" t="s">
        <v>224</v>
      </c>
      <c r="D175" s="141"/>
      <c r="E175" s="138"/>
      <c r="F175" s="138"/>
      <c r="G175" s="138"/>
      <c r="H175" s="138"/>
    </row>
    <row r="176" spans="1:10" s="118" customFormat="1" ht="26.45" customHeight="1">
      <c r="A176" s="120"/>
      <c r="B176" s="120"/>
      <c r="C176" s="89" t="s">
        <v>228</v>
      </c>
      <c r="D176" s="102">
        <f>SUM(E176:H176)</f>
        <v>103948.3</v>
      </c>
      <c r="E176" s="121">
        <f>+E177</f>
        <v>103948.3</v>
      </c>
      <c r="F176" s="121">
        <f>+F177</f>
        <v>0</v>
      </c>
      <c r="G176" s="121">
        <f>+G177</f>
        <v>0</v>
      </c>
      <c r="H176" s="121">
        <f>+H177</f>
        <v>0</v>
      </c>
    </row>
    <row r="177" spans="1:8" s="118" customFormat="1" ht="57" customHeight="1">
      <c r="A177" s="120"/>
      <c r="B177" s="120"/>
      <c r="C177" s="93" t="s">
        <v>295</v>
      </c>
      <c r="D177" s="98">
        <f>+E177+F177+G177+H177</f>
        <v>103948.3</v>
      </c>
      <c r="E177" s="99">
        <v>103948.3</v>
      </c>
      <c r="F177" s="99"/>
      <c r="G177" s="99"/>
      <c r="H177" s="99"/>
    </row>
    <row r="178" spans="1:8" s="118" customFormat="1" ht="47.25" customHeight="1">
      <c r="A178" s="120"/>
      <c r="B178" s="120"/>
      <c r="C178" s="89" t="s">
        <v>230</v>
      </c>
      <c r="D178" s="102">
        <f>SUM(E178:H178)</f>
        <v>115028.09999999995</v>
      </c>
      <c r="E178" s="121">
        <f>+E179+E180+E181+E182+E183</f>
        <v>115028.09999999995</v>
      </c>
      <c r="F178" s="121">
        <f>+F179+F180+F181+F182+F183</f>
        <v>0</v>
      </c>
      <c r="G178" s="121">
        <f>+G179+G180+G181+G182+G183</f>
        <v>0</v>
      </c>
      <c r="H178" s="121">
        <f>+H179+H180+H181+H182+H183</f>
        <v>0</v>
      </c>
    </row>
    <row r="179" spans="1:8" s="118" customFormat="1" ht="44.25" customHeight="1">
      <c r="A179" s="195"/>
      <c r="B179" s="195"/>
      <c r="C179" s="93" t="s">
        <v>296</v>
      </c>
      <c r="D179" s="98">
        <f>+E179+F179+G179+H179</f>
        <v>258691.6</v>
      </c>
      <c r="E179" s="99">
        <v>258691.6</v>
      </c>
      <c r="F179" s="99"/>
      <c r="G179" s="99"/>
      <c r="H179" s="99"/>
    </row>
    <row r="180" spans="1:8" s="118" customFormat="1" ht="44.25" customHeight="1">
      <c r="A180" s="201"/>
      <c r="B180" s="201"/>
      <c r="C180" s="93" t="s">
        <v>297</v>
      </c>
      <c r="D180" s="98">
        <f>+E180+F180+G180+H180</f>
        <v>14998.099999999977</v>
      </c>
      <c r="E180" s="99">
        <f>657426.7-642428.6</f>
        <v>14998.099999999977</v>
      </c>
      <c r="F180" s="99"/>
      <c r="G180" s="99"/>
      <c r="H180" s="99"/>
    </row>
    <row r="181" spans="1:8" s="118" customFormat="1" ht="44.25" customHeight="1">
      <c r="A181" s="201"/>
      <c r="B181" s="201"/>
      <c r="C181" s="93" t="s">
        <v>298</v>
      </c>
      <c r="D181" s="98">
        <f>+E181+F181+G181+H181</f>
        <v>-111390</v>
      </c>
      <c r="E181" s="99">
        <f>526493.2-637883.2</f>
        <v>-111390</v>
      </c>
      <c r="F181" s="99"/>
      <c r="G181" s="99"/>
      <c r="H181" s="99"/>
    </row>
    <row r="182" spans="1:8" s="118" customFormat="1" ht="44.25" customHeight="1">
      <c r="A182" s="201"/>
      <c r="B182" s="201"/>
      <c r="C182" s="93" t="s">
        <v>299</v>
      </c>
      <c r="D182" s="98">
        <f>+E182+F182+G182+H182</f>
        <v>-203680.1</v>
      </c>
      <c r="E182" s="99">
        <f>240876.6-444556.7</f>
        <v>-203680.1</v>
      </c>
      <c r="F182" s="99"/>
      <c r="G182" s="99"/>
      <c r="H182" s="99"/>
    </row>
    <row r="183" spans="1:8" s="118" customFormat="1" ht="44.25" customHeight="1">
      <c r="A183" s="196"/>
      <c r="B183" s="196"/>
      <c r="C183" s="93" t="s">
        <v>300</v>
      </c>
      <c r="D183" s="98">
        <f>+E183+F183+G183+H183</f>
        <v>156408.5</v>
      </c>
      <c r="E183" s="99">
        <f>490736.5-334328</f>
        <v>156408.5</v>
      </c>
      <c r="F183" s="99"/>
      <c r="G183" s="99"/>
      <c r="H183" s="99"/>
    </row>
    <row r="184" spans="1:8" s="118" customFormat="1" ht="25.5" customHeight="1">
      <c r="A184" s="120"/>
      <c r="B184" s="120"/>
      <c r="C184" s="89" t="s">
        <v>255</v>
      </c>
      <c r="D184" s="102">
        <f>SUM(E184:H184)</f>
        <v>153332.5</v>
      </c>
      <c r="E184" s="121">
        <f>+E185</f>
        <v>153332.5</v>
      </c>
      <c r="F184" s="121">
        <f>+F185</f>
        <v>0</v>
      </c>
      <c r="G184" s="121">
        <f>+G185</f>
        <v>0</v>
      </c>
      <c r="H184" s="121">
        <f>+H185</f>
        <v>0</v>
      </c>
    </row>
    <row r="185" spans="1:8" s="118" customFormat="1" ht="44.25" customHeight="1">
      <c r="A185" s="120"/>
      <c r="B185" s="120"/>
      <c r="C185" s="93" t="s">
        <v>301</v>
      </c>
      <c r="D185" s="98">
        <f>+E185+F185+G185+H185</f>
        <v>153332.5</v>
      </c>
      <c r="E185" s="99">
        <f>462732.6-309400.1</f>
        <v>153332.5</v>
      </c>
      <c r="F185" s="99"/>
      <c r="G185" s="99"/>
      <c r="H185" s="99"/>
    </row>
    <row r="186" spans="1:8" s="118" customFormat="1" ht="28.5" customHeight="1">
      <c r="A186" s="120"/>
      <c r="B186" s="120"/>
      <c r="C186" s="89" t="s">
        <v>236</v>
      </c>
      <c r="D186" s="102">
        <f>SUM(E186:H186)</f>
        <v>-989590.2</v>
      </c>
      <c r="E186" s="121">
        <f>+E187+E188+E189+E190</f>
        <v>-989590.2</v>
      </c>
      <c r="F186" s="121">
        <f>+F187+F188+F189+F190</f>
        <v>0</v>
      </c>
      <c r="G186" s="121">
        <f>+G187+G188+G189+G190</f>
        <v>0</v>
      </c>
      <c r="H186" s="121">
        <f>+H187+H188+H189+H190</f>
        <v>0</v>
      </c>
    </row>
    <row r="187" spans="1:8" s="118" customFormat="1" ht="44.25" customHeight="1">
      <c r="A187" s="195"/>
      <c r="B187" s="195"/>
      <c r="C187" s="143" t="s">
        <v>302</v>
      </c>
      <c r="D187" s="98">
        <f>+E187+F187+G187+H187</f>
        <v>106198.8</v>
      </c>
      <c r="E187" s="99">
        <v>106198.8</v>
      </c>
      <c r="F187" s="99"/>
      <c r="G187" s="99"/>
      <c r="H187" s="99"/>
    </row>
    <row r="188" spans="1:8" s="118" customFormat="1" ht="44.25" customHeight="1">
      <c r="A188" s="201"/>
      <c r="B188" s="201"/>
      <c r="C188" s="93" t="s">
        <v>303</v>
      </c>
      <c r="D188" s="98">
        <f>+E188+F188+G188+H188</f>
        <v>-319098.99999999994</v>
      </c>
      <c r="E188" s="99">
        <f>311096.7-630195.7</f>
        <v>-319098.99999999994</v>
      </c>
      <c r="F188" s="99"/>
      <c r="G188" s="99"/>
      <c r="H188" s="99"/>
    </row>
    <row r="189" spans="1:8" s="118" customFormat="1" ht="44.25" customHeight="1">
      <c r="A189" s="201"/>
      <c r="B189" s="201"/>
      <c r="C189" s="93" t="s">
        <v>304</v>
      </c>
      <c r="D189" s="98">
        <f>+E189+F189+G189+H189</f>
        <v>-376299.5</v>
      </c>
      <c r="E189" s="99">
        <f>172616.4-548915.9</f>
        <v>-376299.5</v>
      </c>
      <c r="F189" s="99"/>
      <c r="G189" s="99"/>
      <c r="H189" s="99"/>
    </row>
    <row r="190" spans="1:8" s="118" customFormat="1" ht="44.25" customHeight="1">
      <c r="A190" s="196"/>
      <c r="B190" s="196"/>
      <c r="C190" s="93" t="s">
        <v>305</v>
      </c>
      <c r="D190" s="98">
        <f>+E190+F190+G190+H190</f>
        <v>-400390.5</v>
      </c>
      <c r="E190" s="99">
        <f>182885.4-583275.9</f>
        <v>-400390.5</v>
      </c>
      <c r="F190" s="99"/>
      <c r="G190" s="99"/>
      <c r="H190" s="99"/>
    </row>
    <row r="191" spans="1:8" s="118" customFormat="1" ht="28.35" customHeight="1">
      <c r="A191" s="120"/>
      <c r="B191" s="120"/>
      <c r="C191" s="89" t="s">
        <v>234</v>
      </c>
      <c r="D191" s="102">
        <f>SUM(E191:H191)</f>
        <v>-560759.89999999991</v>
      </c>
      <c r="E191" s="121">
        <f>+E192+E193</f>
        <v>-560759.89999999991</v>
      </c>
      <c r="F191" s="121">
        <f>+F192+F193</f>
        <v>0</v>
      </c>
      <c r="G191" s="121">
        <f>+G192+G193</f>
        <v>0</v>
      </c>
      <c r="H191" s="121">
        <f>+H192+H193</f>
        <v>0</v>
      </c>
    </row>
    <row r="192" spans="1:8" s="118" customFormat="1" ht="35.25" customHeight="1">
      <c r="A192" s="195"/>
      <c r="B192" s="195"/>
      <c r="C192" s="93" t="s">
        <v>306</v>
      </c>
      <c r="D192" s="98">
        <f>+E192+F192+G192+H192</f>
        <v>-282422.5</v>
      </c>
      <c r="E192" s="99">
        <f>296605.9-579028.4</f>
        <v>-282422.5</v>
      </c>
      <c r="F192" s="99"/>
      <c r="G192" s="99"/>
      <c r="H192" s="99"/>
    </row>
    <row r="193" spans="1:10" s="118" customFormat="1" ht="47.25" customHeight="1">
      <c r="A193" s="196"/>
      <c r="B193" s="196"/>
      <c r="C193" s="93" t="s">
        <v>307</v>
      </c>
      <c r="D193" s="98">
        <f>+E193+F193+G193+H193</f>
        <v>-278337.39999999997</v>
      </c>
      <c r="E193" s="99">
        <f>304665.8-583003.2</f>
        <v>-278337.39999999997</v>
      </c>
      <c r="F193" s="99"/>
      <c r="G193" s="99"/>
      <c r="H193" s="99"/>
    </row>
    <row r="194" spans="1:10" s="118" customFormat="1" ht="28.35" customHeight="1">
      <c r="A194" s="120"/>
      <c r="B194" s="120"/>
      <c r="C194" s="89" t="s">
        <v>259</v>
      </c>
      <c r="D194" s="102">
        <f>SUM(E194:H194)</f>
        <v>-160274.80000000005</v>
      </c>
      <c r="E194" s="121">
        <f>+E195</f>
        <v>-160274.80000000005</v>
      </c>
      <c r="F194" s="121">
        <f>+F195</f>
        <v>0</v>
      </c>
      <c r="G194" s="121">
        <f>+G195</f>
        <v>0</v>
      </c>
      <c r="H194" s="121">
        <f>+H195</f>
        <v>0</v>
      </c>
    </row>
    <row r="195" spans="1:10" s="118" customFormat="1" ht="43.5" customHeight="1">
      <c r="A195" s="120"/>
      <c r="B195" s="120"/>
      <c r="C195" s="93" t="s">
        <v>308</v>
      </c>
      <c r="D195" s="98">
        <f>+E195+F195+G195+H195</f>
        <v>-160274.80000000005</v>
      </c>
      <c r="E195" s="99">
        <f>400000-560274.8</f>
        <v>-160274.80000000005</v>
      </c>
      <c r="F195" s="99"/>
      <c r="G195" s="99"/>
      <c r="H195" s="99"/>
    </row>
    <row r="196" spans="1:10" s="118" customFormat="1" ht="27.95" customHeight="1">
      <c r="A196" s="120"/>
      <c r="B196" s="120"/>
      <c r="C196" s="89" t="s">
        <v>247</v>
      </c>
      <c r="D196" s="102">
        <f>SUM(E196:H196)</f>
        <v>174493.40000000002</v>
      </c>
      <c r="E196" s="121">
        <f>+E197</f>
        <v>174493.40000000002</v>
      </c>
      <c r="F196" s="121">
        <f>+F197</f>
        <v>0</v>
      </c>
      <c r="G196" s="121">
        <f>+G197</f>
        <v>0</v>
      </c>
      <c r="H196" s="121">
        <f>+H197</f>
        <v>0</v>
      </c>
    </row>
    <row r="197" spans="1:10" s="118" customFormat="1" ht="39.75" customHeight="1">
      <c r="A197" s="120"/>
      <c r="B197" s="120"/>
      <c r="C197" s="93" t="s">
        <v>309</v>
      </c>
      <c r="D197" s="98">
        <f>+E197+F197+G197+H197</f>
        <v>174493.40000000002</v>
      </c>
      <c r="E197" s="99">
        <f>740946.9-566453.5</f>
        <v>174493.40000000002</v>
      </c>
      <c r="F197" s="99"/>
      <c r="G197" s="99"/>
      <c r="H197" s="99"/>
    </row>
    <row r="198" spans="1:10" s="101" customFormat="1" ht="34.5" customHeight="1">
      <c r="A198" s="74">
        <v>1236</v>
      </c>
      <c r="B198" s="74">
        <v>32002</v>
      </c>
      <c r="C198" s="84" t="s">
        <v>144</v>
      </c>
      <c r="D198" s="76">
        <f>SUM(E198:H198)</f>
        <v>255977.29999999888</v>
      </c>
      <c r="E198" s="76">
        <f>+E200</f>
        <v>0</v>
      </c>
      <c r="F198" s="76">
        <f>+F200</f>
        <v>255977.29999999888</v>
      </c>
      <c r="G198" s="76">
        <f>+G200</f>
        <v>0</v>
      </c>
      <c r="H198" s="76">
        <f>+H200</f>
        <v>0</v>
      </c>
      <c r="I198" s="139"/>
      <c r="J198" s="140"/>
    </row>
    <row r="199" spans="1:10" s="101" customFormat="1">
      <c r="A199" s="134"/>
      <c r="B199" s="134"/>
      <c r="C199" s="135" t="s">
        <v>224</v>
      </c>
      <c r="D199" s="144"/>
      <c r="E199" s="138"/>
      <c r="F199" s="138"/>
      <c r="G199" s="138"/>
      <c r="H199" s="138"/>
    </row>
    <row r="200" spans="1:10" s="118" customFormat="1" ht="33">
      <c r="A200" s="120"/>
      <c r="B200" s="120"/>
      <c r="C200" s="89" t="s">
        <v>144</v>
      </c>
      <c r="D200" s="102">
        <f>SUM(E200:H200)</f>
        <v>255977.29999999888</v>
      </c>
      <c r="E200" s="121">
        <v>0</v>
      </c>
      <c r="F200" s="121">
        <f>18292768.8-266630.7-22400-5085-5085-505855.1-3434000-56925-576-37000-514143.8-13189090.9</f>
        <v>255977.29999999888</v>
      </c>
      <c r="G200" s="121">
        <v>0</v>
      </c>
      <c r="H200" s="121">
        <v>0</v>
      </c>
    </row>
    <row r="201" spans="1:10" s="101" customFormat="1" ht="33" customHeight="1">
      <c r="A201" s="74">
        <v>1236</v>
      </c>
      <c r="B201" s="74">
        <v>32003</v>
      </c>
      <c r="C201" s="84" t="s">
        <v>310</v>
      </c>
      <c r="D201" s="145">
        <f>SUM(E201:H201)</f>
        <v>-363426.99999999977</v>
      </c>
      <c r="E201" s="76">
        <f>+E203+E204+E212+E215+E218+E223+E227+E229+E231+E238+E241</f>
        <v>-474416.89999999973</v>
      </c>
      <c r="F201" s="76">
        <f>+F203+F204+F212+F215+F218+F223+F227+F229+F231+F238+F241</f>
        <v>0</v>
      </c>
      <c r="G201" s="76">
        <f>+G203+G204+G212+G215+G218+G223+G227+G229+G231+G238+G241</f>
        <v>110989.9</v>
      </c>
      <c r="H201" s="76">
        <f>+H203+H204+H212+H215+H218+H223+H227+H229+H231+H238+H241</f>
        <v>0</v>
      </c>
      <c r="I201" s="139"/>
      <c r="J201" s="140"/>
    </row>
    <row r="202" spans="1:10" s="101" customFormat="1" ht="19.5" customHeight="1">
      <c r="A202" s="134"/>
      <c r="B202" s="134"/>
      <c r="C202" s="135" t="s">
        <v>224</v>
      </c>
      <c r="D202" s="146"/>
      <c r="E202" s="147"/>
      <c r="F202" s="138"/>
      <c r="G202" s="138"/>
      <c r="H202" s="138"/>
    </row>
    <row r="203" spans="1:10" s="101" customFormat="1" ht="19.5" customHeight="1">
      <c r="A203" s="74"/>
      <c r="B203" s="74"/>
      <c r="C203" s="84" t="s">
        <v>310</v>
      </c>
      <c r="D203" s="76">
        <f>SUM(E203:H203)</f>
        <v>-2315679.9999999995</v>
      </c>
      <c r="E203" s="76">
        <f>4889118.4+127138.1-568720+50000+373.4-206649.8-208349.5-166032.6-166698.3-104873.7-105415.9-152649.8+1080+172820-153129-160478-52627.7-105652.8+70666.1-73422.6+382171.4+371505.5-5085-5085-135423.7-73112.8-21200-29800-46300-21200-18300-25563.7-49700-5085-88852.1-103013.1-233518.1+147812.2+4781.1+9011.9-75908.4+50000+27225-320000-345000-345000-4447536.5</f>
        <v>-2315679.9999999995</v>
      </c>
      <c r="F203" s="76">
        <v>0</v>
      </c>
      <c r="G203" s="76">
        <v>0</v>
      </c>
      <c r="H203" s="76">
        <v>0</v>
      </c>
      <c r="I203" s="139"/>
      <c r="J203" s="140"/>
    </row>
    <row r="204" spans="1:10" s="113" customFormat="1" ht="19.5" customHeight="1">
      <c r="A204" s="120"/>
      <c r="B204" s="120"/>
      <c r="C204" s="148" t="s">
        <v>225</v>
      </c>
      <c r="D204" s="102">
        <f>SUM(E204:H204)</f>
        <v>914631.60000000009</v>
      </c>
      <c r="E204" s="121">
        <f>+E205+E206+E207+E208+E209+E210+E211</f>
        <v>1009999.8</v>
      </c>
      <c r="F204" s="121">
        <f t="shared" ref="F204:H204" si="42">+F205+F206+F207+F208+F209+F210+F211</f>
        <v>0</v>
      </c>
      <c r="G204" s="121">
        <f>+G205+G206+G207+G208+G209+G210+G211</f>
        <v>-95368.2</v>
      </c>
      <c r="H204" s="121">
        <f t="shared" si="42"/>
        <v>0</v>
      </c>
    </row>
    <row r="205" spans="1:10" s="118" customFormat="1" ht="19.5" customHeight="1">
      <c r="A205" s="124"/>
      <c r="B205" s="142"/>
      <c r="C205" s="133" t="s">
        <v>311</v>
      </c>
      <c r="D205" s="98">
        <f t="shared" ref="D205:D211" si="43">+E205+F205+G205+H205</f>
        <v>-0.2</v>
      </c>
      <c r="E205" s="99">
        <v>-0.2</v>
      </c>
      <c r="F205" s="99"/>
      <c r="G205" s="99"/>
      <c r="H205" s="100"/>
    </row>
    <row r="206" spans="1:10" s="118" customFormat="1" ht="19.5" customHeight="1">
      <c r="A206" s="124"/>
      <c r="B206" s="142"/>
      <c r="C206" s="133" t="s">
        <v>312</v>
      </c>
      <c r="D206" s="98">
        <f t="shared" si="43"/>
        <v>-4781.0999999999985</v>
      </c>
      <c r="E206" s="99"/>
      <c r="F206" s="99"/>
      <c r="G206" s="99">
        <f>45218.9-50000</f>
        <v>-4781.0999999999985</v>
      </c>
      <c r="H206" s="100"/>
    </row>
    <row r="207" spans="1:10" s="118" customFormat="1" ht="19.5" customHeight="1">
      <c r="A207" s="124"/>
      <c r="B207" s="142"/>
      <c r="C207" s="133" t="s">
        <v>279</v>
      </c>
      <c r="D207" s="98">
        <f t="shared" si="43"/>
        <v>-38237.699999999997</v>
      </c>
      <c r="E207" s="99"/>
      <c r="F207" s="99"/>
      <c r="G207" s="99">
        <v>-38237.699999999997</v>
      </c>
      <c r="H207" s="100"/>
    </row>
    <row r="208" spans="1:10" s="118" customFormat="1" ht="19.5" customHeight="1">
      <c r="A208" s="124"/>
      <c r="B208" s="142"/>
      <c r="C208" s="133" t="s">
        <v>280</v>
      </c>
      <c r="D208" s="98">
        <f t="shared" si="43"/>
        <v>-52349.4</v>
      </c>
      <c r="E208" s="99"/>
      <c r="F208" s="99"/>
      <c r="G208" s="99">
        <v>-52349.4</v>
      </c>
      <c r="H208" s="100"/>
    </row>
    <row r="209" spans="1:8" s="118" customFormat="1" ht="19.5" customHeight="1">
      <c r="A209" s="124"/>
      <c r="B209" s="142"/>
      <c r="C209" s="133" t="s">
        <v>313</v>
      </c>
      <c r="D209" s="98">
        <f t="shared" si="43"/>
        <v>320000</v>
      </c>
      <c r="E209" s="99">
        <v>320000</v>
      </c>
      <c r="F209" s="99"/>
      <c r="G209" s="99"/>
      <c r="H209" s="100"/>
    </row>
    <row r="210" spans="1:8" s="118" customFormat="1" ht="19.5" customHeight="1">
      <c r="A210" s="124"/>
      <c r="B210" s="142"/>
      <c r="C210" s="133" t="s">
        <v>314</v>
      </c>
      <c r="D210" s="98">
        <f t="shared" si="43"/>
        <v>345000</v>
      </c>
      <c r="E210" s="99">
        <v>345000</v>
      </c>
      <c r="F210" s="99"/>
      <c r="G210" s="99"/>
      <c r="H210" s="100"/>
    </row>
    <row r="211" spans="1:8" s="118" customFormat="1" ht="19.5" customHeight="1">
      <c r="A211" s="149"/>
      <c r="B211" s="142"/>
      <c r="C211" s="133" t="s">
        <v>315</v>
      </c>
      <c r="D211" s="98">
        <f t="shared" si="43"/>
        <v>345000</v>
      </c>
      <c r="E211" s="99">
        <v>345000</v>
      </c>
      <c r="F211" s="99"/>
      <c r="G211" s="99"/>
      <c r="H211" s="100"/>
    </row>
    <row r="212" spans="1:8" s="118" customFormat="1" ht="19.5" customHeight="1">
      <c r="A212" s="150"/>
      <c r="B212" s="150"/>
      <c r="C212" s="148" t="s">
        <v>252</v>
      </c>
      <c r="D212" s="102">
        <f>SUM(E212:H212)</f>
        <v>366234.69999999995</v>
      </c>
      <c r="E212" s="121">
        <f>+E213+E214</f>
        <v>366234.69999999995</v>
      </c>
      <c r="F212" s="121">
        <f t="shared" ref="F212:H212" si="44">+F213+F214</f>
        <v>0</v>
      </c>
      <c r="G212" s="121">
        <f t="shared" si="44"/>
        <v>0</v>
      </c>
      <c r="H212" s="121">
        <f t="shared" si="44"/>
        <v>0</v>
      </c>
    </row>
    <row r="213" spans="1:8" s="118" customFormat="1" ht="19.5" customHeight="1">
      <c r="A213" s="124"/>
      <c r="B213" s="124"/>
      <c r="C213" s="133" t="s">
        <v>316</v>
      </c>
      <c r="D213" s="98">
        <f t="shared" ref="D213:D214" si="45">+E213+F213+G213+H213</f>
        <v>205756.69999999998</v>
      </c>
      <c r="E213" s="99">
        <f>219016.4-13259.7</f>
        <v>205756.69999999998</v>
      </c>
      <c r="F213" s="99"/>
      <c r="G213" s="99"/>
      <c r="H213" s="100"/>
    </row>
    <row r="214" spans="1:8" s="118" customFormat="1" ht="19.5" customHeight="1">
      <c r="A214" s="149"/>
      <c r="B214" s="149"/>
      <c r="C214" s="133" t="s">
        <v>317</v>
      </c>
      <c r="D214" s="98">
        <f t="shared" si="45"/>
        <v>160478</v>
      </c>
      <c r="E214" s="99">
        <f>178718.4-18240.4</f>
        <v>160478</v>
      </c>
      <c r="F214" s="99"/>
      <c r="G214" s="99"/>
      <c r="H214" s="100"/>
    </row>
    <row r="215" spans="1:8" s="118" customFormat="1" ht="19.5" customHeight="1">
      <c r="A215" s="150"/>
      <c r="B215" s="150"/>
      <c r="C215" s="148" t="s">
        <v>230</v>
      </c>
      <c r="D215" s="102">
        <f>SUM(E215:H215)</f>
        <v>12188.099999999999</v>
      </c>
      <c r="E215" s="121">
        <f>+E216+E217</f>
        <v>0</v>
      </c>
      <c r="F215" s="121">
        <f t="shared" ref="F215:H215" si="46">+F216+F217</f>
        <v>0</v>
      </c>
      <c r="G215" s="121">
        <f t="shared" si="46"/>
        <v>12188.099999999999</v>
      </c>
      <c r="H215" s="121">
        <f t="shared" si="46"/>
        <v>0</v>
      </c>
    </row>
    <row r="216" spans="1:8" s="118" customFormat="1" ht="19.5" customHeight="1">
      <c r="A216" s="124"/>
      <c r="B216" s="124"/>
      <c r="C216" s="133" t="s">
        <v>318</v>
      </c>
      <c r="D216" s="98">
        <f>+E216+F216+G216+H216</f>
        <v>21200</v>
      </c>
      <c r="E216" s="99"/>
      <c r="F216" s="99"/>
      <c r="G216" s="99">
        <f>20000+1200</f>
        <v>21200</v>
      </c>
      <c r="H216" s="100"/>
    </row>
    <row r="217" spans="1:8" s="118" customFormat="1" ht="19.5" customHeight="1">
      <c r="A217" s="124"/>
      <c r="B217" s="124"/>
      <c r="C217" s="133" t="s">
        <v>319</v>
      </c>
      <c r="D217" s="98">
        <f>+E217+F217+G217+H217</f>
        <v>-9011.9000000000015</v>
      </c>
      <c r="E217" s="99"/>
      <c r="F217" s="99"/>
      <c r="G217" s="99">
        <f>29424.1-38436</f>
        <v>-9011.9000000000015</v>
      </c>
      <c r="H217" s="100"/>
    </row>
    <row r="218" spans="1:8" s="118" customFormat="1" ht="19.5" customHeight="1">
      <c r="A218" s="150"/>
      <c r="B218" s="150"/>
      <c r="C218" s="148" t="s">
        <v>255</v>
      </c>
      <c r="D218" s="102">
        <f>SUM(E218:H218)</f>
        <v>-140908.30000000005</v>
      </c>
      <c r="E218" s="121">
        <f>+E219+E220+E221+E222</f>
        <v>-140908.30000000005</v>
      </c>
      <c r="F218" s="121">
        <f t="shared" ref="F218:H218" si="47">+F219+F220+F221+F222</f>
        <v>0</v>
      </c>
      <c r="G218" s="121">
        <f t="shared" si="47"/>
        <v>0</v>
      </c>
      <c r="H218" s="121">
        <f t="shared" si="47"/>
        <v>0</v>
      </c>
    </row>
    <row r="219" spans="1:8" s="118" customFormat="1" ht="19.5" customHeight="1">
      <c r="A219" s="151"/>
      <c r="B219" s="151"/>
      <c r="C219" s="133" t="s">
        <v>320</v>
      </c>
      <c r="D219" s="98">
        <f>+E219+F219+G219+H219</f>
        <v>-382171.4</v>
      </c>
      <c r="E219" s="99">
        <v>-382171.4</v>
      </c>
      <c r="F219" s="99"/>
      <c r="G219" s="99"/>
      <c r="H219" s="100"/>
    </row>
    <row r="220" spans="1:8" s="118" customFormat="1" ht="19.5" customHeight="1">
      <c r="A220" s="124"/>
      <c r="B220" s="124"/>
      <c r="C220" s="133" t="s">
        <v>321</v>
      </c>
      <c r="D220" s="98">
        <f>+E220+F220+G220+H220</f>
        <v>-373.39999999999418</v>
      </c>
      <c r="E220" s="99">
        <f>166819.5-167192.9</f>
        <v>-373.39999999999418</v>
      </c>
      <c r="F220" s="99"/>
      <c r="G220" s="99"/>
      <c r="H220" s="100"/>
    </row>
    <row r="221" spans="1:8" s="118" customFormat="1" ht="19.5" customHeight="1">
      <c r="A221" s="124"/>
      <c r="B221" s="124"/>
      <c r="C221" s="133" t="s">
        <v>322</v>
      </c>
      <c r="D221" s="98">
        <f>+E221+F221+G221+H221</f>
        <v>105652.79999999999</v>
      </c>
      <c r="E221" s="99">
        <f>304194.5-198541.7</f>
        <v>105652.79999999999</v>
      </c>
      <c r="F221" s="99"/>
      <c r="G221" s="99"/>
      <c r="H221" s="100"/>
    </row>
    <row r="222" spans="1:8" s="118" customFormat="1" ht="19.5" customHeight="1">
      <c r="A222" s="149"/>
      <c r="B222" s="149"/>
      <c r="C222" s="133" t="s">
        <v>323</v>
      </c>
      <c r="D222" s="98">
        <f>+E222+F222+G222+H222</f>
        <v>135983.70000000001</v>
      </c>
      <c r="E222" s="99">
        <f>283461.4-147477.7</f>
        <v>135983.70000000001</v>
      </c>
      <c r="F222" s="99"/>
      <c r="G222" s="99"/>
      <c r="H222" s="100"/>
    </row>
    <row r="223" spans="1:8" s="118" customFormat="1" ht="19.5" customHeight="1">
      <c r="A223" s="150"/>
      <c r="B223" s="150"/>
      <c r="C223" s="148" t="s">
        <v>236</v>
      </c>
      <c r="D223" s="102">
        <f>SUM(E223:H223)</f>
        <v>47170</v>
      </c>
      <c r="E223" s="121">
        <f>+E224+E225+E226</f>
        <v>0</v>
      </c>
      <c r="F223" s="121">
        <f t="shared" ref="F223:H223" si="48">+F224+F225+F226</f>
        <v>0</v>
      </c>
      <c r="G223" s="121">
        <f t="shared" si="48"/>
        <v>47170</v>
      </c>
      <c r="H223" s="121">
        <f t="shared" si="48"/>
        <v>0</v>
      </c>
    </row>
    <row r="224" spans="1:8" s="118" customFormat="1" ht="19.5" customHeight="1">
      <c r="A224" s="201"/>
      <c r="B224" s="201"/>
      <c r="C224" s="133" t="s">
        <v>324</v>
      </c>
      <c r="D224" s="98">
        <f t="shared" ref="D224:D225" si="49">+E224+F224+G224+H224</f>
        <v>5085</v>
      </c>
      <c r="E224" s="99"/>
      <c r="F224" s="99"/>
      <c r="G224" s="99">
        <f>4605+480</f>
        <v>5085</v>
      </c>
      <c r="H224" s="100"/>
    </row>
    <row r="225" spans="1:9" s="118" customFormat="1" ht="19.5" customHeight="1">
      <c r="A225" s="201"/>
      <c r="B225" s="201"/>
      <c r="C225" s="133" t="s">
        <v>325</v>
      </c>
      <c r="D225" s="98">
        <f t="shared" si="49"/>
        <v>5085</v>
      </c>
      <c r="E225" s="99"/>
      <c r="F225" s="99"/>
      <c r="G225" s="99">
        <f>4605+480</f>
        <v>5085</v>
      </c>
      <c r="H225" s="100"/>
    </row>
    <row r="226" spans="1:9" s="127" customFormat="1" ht="19.5" customHeight="1">
      <c r="A226" s="196"/>
      <c r="B226" s="196"/>
      <c r="C226" s="106" t="s">
        <v>326</v>
      </c>
      <c r="D226" s="94">
        <f>+E226+F226+G226+H226</f>
        <v>37000</v>
      </c>
      <c r="E226" s="95"/>
      <c r="F226" s="95"/>
      <c r="G226" s="95">
        <f>36000+1000</f>
        <v>37000</v>
      </c>
      <c r="H226" s="96"/>
    </row>
    <row r="227" spans="1:9" s="118" customFormat="1" ht="19.5" customHeight="1">
      <c r="A227" s="150"/>
      <c r="B227" s="150"/>
      <c r="C227" s="148" t="s">
        <v>232</v>
      </c>
      <c r="D227" s="102">
        <f>SUM(E227:H227)</f>
        <v>-371505.5</v>
      </c>
      <c r="E227" s="121">
        <f>+E228</f>
        <v>-371505.5</v>
      </c>
      <c r="F227" s="121">
        <f t="shared" ref="F227:H227" si="50">+F228</f>
        <v>0</v>
      </c>
      <c r="G227" s="121">
        <f t="shared" si="50"/>
        <v>0</v>
      </c>
      <c r="H227" s="121">
        <f t="shared" si="50"/>
        <v>0</v>
      </c>
    </row>
    <row r="228" spans="1:9" s="118" customFormat="1" ht="19.5" customHeight="1">
      <c r="A228" s="152"/>
      <c r="B228" s="152"/>
      <c r="C228" s="133" t="s">
        <v>327</v>
      </c>
      <c r="D228" s="98">
        <f t="shared" ref="D228" si="51">+E228+F228+G228+H228</f>
        <v>-371505.5</v>
      </c>
      <c r="E228" s="99">
        <v>-371505.5</v>
      </c>
      <c r="F228" s="99"/>
      <c r="G228" s="99"/>
      <c r="H228" s="100"/>
    </row>
    <row r="229" spans="1:9" s="113" customFormat="1" ht="19.5" customHeight="1">
      <c r="A229" s="120"/>
      <c r="B229" s="120"/>
      <c r="C229" s="148" t="s">
        <v>234</v>
      </c>
      <c r="D229" s="116">
        <f>SUM(E229:H229)</f>
        <v>73422.599999999977</v>
      </c>
      <c r="E229" s="117">
        <f>+E230</f>
        <v>73422.599999999977</v>
      </c>
      <c r="F229" s="117">
        <f t="shared" ref="F229:H229" si="52">+F230</f>
        <v>0</v>
      </c>
      <c r="G229" s="117">
        <f t="shared" si="52"/>
        <v>0</v>
      </c>
      <c r="H229" s="117">
        <f t="shared" si="52"/>
        <v>0</v>
      </c>
    </row>
    <row r="230" spans="1:9" s="118" customFormat="1" ht="19.5" customHeight="1">
      <c r="A230" s="142"/>
      <c r="B230" s="142"/>
      <c r="C230" s="133" t="s">
        <v>328</v>
      </c>
      <c r="D230" s="98">
        <f>+E230+F230+G230+H230</f>
        <v>73422.599999999977</v>
      </c>
      <c r="E230" s="99">
        <f>390485.5-317062.9</f>
        <v>73422.599999999977</v>
      </c>
      <c r="F230" s="99"/>
      <c r="G230" s="99"/>
      <c r="H230" s="100"/>
    </row>
    <row r="231" spans="1:9" s="113" customFormat="1" ht="19.5" customHeight="1">
      <c r="A231" s="120"/>
      <c r="B231" s="120"/>
      <c r="C231" s="148" t="s">
        <v>257</v>
      </c>
      <c r="D231" s="116">
        <f>SUM(E231:H231)</f>
        <v>666880.4</v>
      </c>
      <c r="E231" s="117">
        <f>+E232+E233+E234+E235+E236+E237</f>
        <v>541080.4</v>
      </c>
      <c r="F231" s="117">
        <f t="shared" ref="F231:H231" si="53">+F232+F233+F234+F235+F236+F237</f>
        <v>0</v>
      </c>
      <c r="G231" s="117">
        <f t="shared" si="53"/>
        <v>125800</v>
      </c>
      <c r="H231" s="117">
        <f t="shared" si="53"/>
        <v>0</v>
      </c>
    </row>
    <row r="232" spans="1:9" s="118" customFormat="1" ht="19.5" customHeight="1">
      <c r="A232" s="201"/>
      <c r="B232" s="201"/>
      <c r="C232" s="133" t="s">
        <v>329</v>
      </c>
      <c r="D232" s="98">
        <f t="shared" ref="D232:D236" si="54">+E232+F232+G232+H232</f>
        <v>29800</v>
      </c>
      <c r="E232" s="99"/>
      <c r="F232" s="99"/>
      <c r="G232" s="99">
        <f>28800+1000</f>
        <v>29800</v>
      </c>
      <c r="H232" s="100"/>
    </row>
    <row r="233" spans="1:9" s="118" customFormat="1" ht="19.5" customHeight="1">
      <c r="A233" s="201"/>
      <c r="B233" s="201"/>
      <c r="C233" s="133" t="s">
        <v>330</v>
      </c>
      <c r="D233" s="98">
        <f t="shared" si="54"/>
        <v>46300</v>
      </c>
      <c r="E233" s="99"/>
      <c r="F233" s="99"/>
      <c r="G233" s="99">
        <f>44800+1500</f>
        <v>46300</v>
      </c>
      <c r="H233" s="100"/>
    </row>
    <row r="234" spans="1:9" s="118" customFormat="1" ht="19.5" customHeight="1">
      <c r="A234" s="201"/>
      <c r="B234" s="201"/>
      <c r="C234" s="133" t="s">
        <v>331</v>
      </c>
      <c r="D234" s="98">
        <f t="shared" si="54"/>
        <v>49700</v>
      </c>
      <c r="E234" s="99"/>
      <c r="F234" s="99"/>
      <c r="G234" s="99">
        <f>48000+1700</f>
        <v>49700</v>
      </c>
      <c r="H234" s="100"/>
    </row>
    <row r="235" spans="1:9" s="118" customFormat="1" ht="19.5" customHeight="1">
      <c r="A235" s="201"/>
      <c r="B235" s="201"/>
      <c r="C235" s="133" t="s">
        <v>332</v>
      </c>
      <c r="D235" s="98">
        <f t="shared" si="54"/>
        <v>166032.6</v>
      </c>
      <c r="E235" s="99">
        <v>166032.6</v>
      </c>
      <c r="F235" s="99"/>
      <c r="G235" s="99"/>
      <c r="H235" s="100"/>
    </row>
    <row r="236" spans="1:9" s="118" customFormat="1" ht="19.5" customHeight="1">
      <c r="A236" s="201"/>
      <c r="B236" s="201"/>
      <c r="C236" s="133" t="s">
        <v>333</v>
      </c>
      <c r="D236" s="98">
        <f t="shared" si="54"/>
        <v>166698.29999999999</v>
      </c>
      <c r="E236" s="99">
        <v>166698.29999999999</v>
      </c>
      <c r="F236" s="99"/>
      <c r="G236" s="99"/>
      <c r="H236" s="100"/>
    </row>
    <row r="237" spans="1:9" s="118" customFormat="1" ht="19.5" customHeight="1">
      <c r="A237" s="201"/>
      <c r="B237" s="201"/>
      <c r="C237" s="133" t="s">
        <v>334</v>
      </c>
      <c r="D237" s="98">
        <f>+E237+F237+G237+H237</f>
        <v>208349.5</v>
      </c>
      <c r="E237" s="99">
        <f>344628.7-136279.2</f>
        <v>208349.5</v>
      </c>
      <c r="F237" s="99"/>
      <c r="G237" s="99"/>
      <c r="H237" s="100"/>
    </row>
    <row r="238" spans="1:9" s="113" customFormat="1" ht="19.5" customHeight="1">
      <c r="A238" s="120"/>
      <c r="B238" s="120"/>
      <c r="C238" s="148" t="s">
        <v>259</v>
      </c>
      <c r="D238" s="116">
        <f>SUM(E238:H238)</f>
        <v>210289.60000000003</v>
      </c>
      <c r="E238" s="117">
        <f>+E239+E240</f>
        <v>210289.60000000003</v>
      </c>
      <c r="F238" s="117">
        <f t="shared" ref="F238:H238" si="55">+F239+F240</f>
        <v>0</v>
      </c>
      <c r="G238" s="117">
        <f t="shared" si="55"/>
        <v>0</v>
      </c>
      <c r="H238" s="117">
        <f t="shared" si="55"/>
        <v>0</v>
      </c>
    </row>
    <row r="239" spans="1:9" s="118" customFormat="1" ht="19.5" customHeight="1">
      <c r="A239" s="201"/>
      <c r="B239" s="201"/>
      <c r="C239" s="133" t="s">
        <v>335</v>
      </c>
      <c r="D239" s="98">
        <f>+E239+F239+G239+H239</f>
        <v>104873.70000000001</v>
      </c>
      <c r="E239" s="99">
        <f>176339.6-71465.9</f>
        <v>104873.70000000001</v>
      </c>
      <c r="F239" s="99"/>
      <c r="G239" s="99"/>
      <c r="H239" s="100"/>
    </row>
    <row r="240" spans="1:9" s="118" customFormat="1" ht="19.5" customHeight="1">
      <c r="A240" s="196"/>
      <c r="B240" s="196"/>
      <c r="C240" s="133" t="s">
        <v>336</v>
      </c>
      <c r="D240" s="98">
        <f>+E240+F240+G240+H240</f>
        <v>105415.90000000001</v>
      </c>
      <c r="E240" s="99">
        <f>143099.7-37683.8</f>
        <v>105415.90000000001</v>
      </c>
      <c r="F240" s="99"/>
      <c r="G240" s="99"/>
      <c r="H240" s="100"/>
      <c r="I240" s="153"/>
    </row>
    <row r="241" spans="1:10" s="113" customFormat="1" ht="19.5" customHeight="1">
      <c r="A241" s="120"/>
      <c r="B241" s="120"/>
      <c r="C241" s="148" t="s">
        <v>247</v>
      </c>
      <c r="D241" s="116">
        <f>SUM(E241:H241)</f>
        <v>173849.8</v>
      </c>
      <c r="E241" s="117">
        <f>+E242+E243</f>
        <v>152649.79999999999</v>
      </c>
      <c r="F241" s="117">
        <f t="shared" ref="F241:H241" si="56">+F242+F243</f>
        <v>0</v>
      </c>
      <c r="G241" s="117">
        <f t="shared" si="56"/>
        <v>21200</v>
      </c>
      <c r="H241" s="117">
        <f t="shared" si="56"/>
        <v>0</v>
      </c>
    </row>
    <row r="242" spans="1:10" s="118" customFormat="1" ht="29.25" customHeight="1">
      <c r="A242" s="124"/>
      <c r="B242" s="124"/>
      <c r="C242" s="133" t="s">
        <v>337</v>
      </c>
      <c r="D242" s="98">
        <f t="shared" ref="D242:D243" si="57">+E242+F242+G242+H242</f>
        <v>21200</v>
      </c>
      <c r="E242" s="99"/>
      <c r="F242" s="99"/>
      <c r="G242" s="99">
        <f>20000+1200</f>
        <v>21200</v>
      </c>
      <c r="H242" s="100"/>
    </row>
    <row r="243" spans="1:10" s="118" customFormat="1" ht="19.5" customHeight="1">
      <c r="A243" s="124"/>
      <c r="B243" s="124"/>
      <c r="C243" s="133" t="s">
        <v>338</v>
      </c>
      <c r="D243" s="98">
        <f t="shared" si="57"/>
        <v>152649.79999999999</v>
      </c>
      <c r="E243" s="99">
        <v>152649.79999999999</v>
      </c>
      <c r="F243" s="99"/>
      <c r="G243" s="99"/>
      <c r="H243" s="100"/>
    </row>
    <row r="244" spans="1:10" s="101" customFormat="1" ht="33">
      <c r="A244" s="74">
        <v>1236</v>
      </c>
      <c r="B244" s="74">
        <v>32004</v>
      </c>
      <c r="C244" s="154" t="s">
        <v>339</v>
      </c>
      <c r="D244" s="76">
        <f>SUM(E244:H244)</f>
        <v>-147812.20000000001</v>
      </c>
      <c r="E244" s="76">
        <f>+E246</f>
        <v>0</v>
      </c>
      <c r="F244" s="76">
        <f>+F246</f>
        <v>-166002.20000000001</v>
      </c>
      <c r="G244" s="76">
        <f>+G246</f>
        <v>18190</v>
      </c>
      <c r="H244" s="76">
        <f>+H246</f>
        <v>0</v>
      </c>
      <c r="I244" s="155"/>
      <c r="J244" s="155"/>
    </row>
    <row r="245" spans="1:10" s="101" customFormat="1">
      <c r="A245" s="120"/>
      <c r="B245" s="120"/>
      <c r="C245" s="135" t="s">
        <v>224</v>
      </c>
      <c r="D245" s="136"/>
      <c r="E245" s="137"/>
      <c r="F245" s="137"/>
      <c r="G245" s="137"/>
      <c r="H245" s="138"/>
    </row>
    <row r="246" spans="1:10" s="113" customFormat="1">
      <c r="A246" s="120"/>
      <c r="B246" s="120"/>
      <c r="C246" s="89" t="s">
        <v>225</v>
      </c>
      <c r="D246" s="116">
        <f>SUM(E246:H246)</f>
        <v>-147812.20000000001</v>
      </c>
      <c r="E246" s="117">
        <f>+E247</f>
        <v>0</v>
      </c>
      <c r="F246" s="117">
        <f t="shared" ref="F246:H246" si="58">+F247</f>
        <v>-166002.20000000001</v>
      </c>
      <c r="G246" s="117">
        <f t="shared" si="58"/>
        <v>18190</v>
      </c>
      <c r="H246" s="117">
        <f t="shared" si="58"/>
        <v>0</v>
      </c>
    </row>
    <row r="247" spans="1:10" s="118" customFormat="1">
      <c r="A247" s="122"/>
      <c r="B247" s="122"/>
      <c r="C247" s="93" t="s">
        <v>340</v>
      </c>
      <c r="D247" s="98">
        <f>+E247+F247+G247+H247</f>
        <v>-147812.20000000001</v>
      </c>
      <c r="E247" s="99"/>
      <c r="F247" s="99">
        <f>166002.2-332004.4</f>
        <v>-166002.20000000001</v>
      </c>
      <c r="G247" s="99">
        <f>17000+1190</f>
        <v>18190</v>
      </c>
      <c r="H247" s="100"/>
    </row>
    <row r="248" spans="1:10" s="101" customFormat="1">
      <c r="A248" s="74">
        <v>1236</v>
      </c>
      <c r="B248" s="74">
        <v>32005</v>
      </c>
      <c r="C248" s="154" t="s">
        <v>341</v>
      </c>
      <c r="D248" s="76">
        <f>SUM(E248:H248)</f>
        <v>-154520</v>
      </c>
      <c r="E248" s="76">
        <f>+E250+E252</f>
        <v>-177820</v>
      </c>
      <c r="F248" s="76">
        <f t="shared" ref="F248:H248" si="59">+F250+F252</f>
        <v>0</v>
      </c>
      <c r="G248" s="76">
        <f t="shared" si="59"/>
        <v>23300</v>
      </c>
      <c r="H248" s="76">
        <f t="shared" si="59"/>
        <v>0</v>
      </c>
      <c r="I248" s="155"/>
      <c r="J248" s="155"/>
    </row>
    <row r="249" spans="1:10" s="101" customFormat="1">
      <c r="A249" s="120"/>
      <c r="B249" s="120"/>
      <c r="C249" s="135" t="s">
        <v>224</v>
      </c>
      <c r="D249" s="136"/>
      <c r="E249" s="137"/>
      <c r="F249" s="137"/>
      <c r="G249" s="137"/>
      <c r="H249" s="138"/>
    </row>
    <row r="250" spans="1:10" s="118" customFormat="1">
      <c r="A250" s="120"/>
      <c r="B250" s="120"/>
      <c r="C250" s="89" t="s">
        <v>257</v>
      </c>
      <c r="D250" s="116">
        <f>SUM(E250:H250)</f>
        <v>18300</v>
      </c>
      <c r="E250" s="121">
        <f>+E251</f>
        <v>0</v>
      </c>
      <c r="F250" s="121">
        <f t="shared" ref="F250:H250" si="60">+F251</f>
        <v>0</v>
      </c>
      <c r="G250" s="121">
        <f t="shared" si="60"/>
        <v>18300</v>
      </c>
      <c r="H250" s="121">
        <f t="shared" si="60"/>
        <v>0</v>
      </c>
    </row>
    <row r="251" spans="1:10" s="118" customFormat="1">
      <c r="A251" s="142"/>
      <c r="B251" s="142"/>
      <c r="C251" s="143" t="s">
        <v>342</v>
      </c>
      <c r="D251" s="98">
        <f t="shared" ref="D251" si="61">+E251+F251+G251+H251</f>
        <v>18300</v>
      </c>
      <c r="E251" s="99"/>
      <c r="F251" s="99"/>
      <c r="G251" s="99">
        <f>17600+700</f>
        <v>18300</v>
      </c>
      <c r="H251" s="100"/>
    </row>
    <row r="252" spans="1:10" s="113" customFormat="1">
      <c r="A252" s="120"/>
      <c r="B252" s="120"/>
      <c r="C252" s="89" t="s">
        <v>247</v>
      </c>
      <c r="D252" s="116">
        <f>SUM(E252:H252)</f>
        <v>-172820</v>
      </c>
      <c r="E252" s="117">
        <f>+E253</f>
        <v>-177820</v>
      </c>
      <c r="F252" s="117">
        <f t="shared" ref="F252:H252" si="62">+F253</f>
        <v>0</v>
      </c>
      <c r="G252" s="117">
        <f t="shared" si="62"/>
        <v>5000</v>
      </c>
      <c r="H252" s="117">
        <f t="shared" si="62"/>
        <v>0</v>
      </c>
    </row>
    <row r="253" spans="1:10" s="118" customFormat="1">
      <c r="A253" s="122"/>
      <c r="B253" s="122"/>
      <c r="C253" s="93" t="s">
        <v>343</v>
      </c>
      <c r="D253" s="98">
        <f t="shared" ref="D253" si="63">+E253+F253+G253+H253</f>
        <v>-172820</v>
      </c>
      <c r="E253" s="99">
        <v>-177820</v>
      </c>
      <c r="F253" s="99"/>
      <c r="G253" s="99">
        <v>5000</v>
      </c>
      <c r="H253" s="100"/>
    </row>
    <row r="254" spans="1:10" s="101" customFormat="1" ht="33">
      <c r="A254" s="74">
        <v>1236</v>
      </c>
      <c r="B254" s="74">
        <v>32006</v>
      </c>
      <c r="C254" s="154" t="s">
        <v>344</v>
      </c>
      <c r="D254" s="76">
        <f>SUM(E254:H254)</f>
        <v>745970.3</v>
      </c>
      <c r="E254" s="76">
        <f>+E256+E274+E279+E282+E294+E300+E311+E314+E320+E324+E330</f>
        <v>0</v>
      </c>
      <c r="F254" s="76">
        <f t="shared" ref="F254:H254" si="64">+F256+F274+F279+F282+F294+F300+F311+F314+F320+F324+F330</f>
        <v>0</v>
      </c>
      <c r="G254" s="76">
        <f t="shared" si="64"/>
        <v>0</v>
      </c>
      <c r="H254" s="76">
        <f t="shared" si="64"/>
        <v>745970.3</v>
      </c>
      <c r="I254" s="155"/>
      <c r="J254" s="155"/>
    </row>
    <row r="255" spans="1:10" s="101" customFormat="1">
      <c r="A255" s="120"/>
      <c r="B255" s="120"/>
      <c r="C255" s="135" t="s">
        <v>224</v>
      </c>
      <c r="D255" s="136"/>
      <c r="E255" s="137"/>
      <c r="F255" s="137"/>
      <c r="G255" s="137"/>
      <c r="H255" s="138"/>
    </row>
    <row r="256" spans="1:10" s="161" customFormat="1">
      <c r="A256" s="156"/>
      <c r="B256" s="156"/>
      <c r="C256" s="157" t="s">
        <v>225</v>
      </c>
      <c r="D256" s="158">
        <f>SUM(E256:H256)</f>
        <v>170224.30000000002</v>
      </c>
      <c r="E256" s="159">
        <f>+E257+E258+E259+E260+E261+E262+E263+E264+E265+E266+E267+E268+E269+E270+E271+E272+E273</f>
        <v>0</v>
      </c>
      <c r="F256" s="159">
        <f t="shared" ref="F256:H256" si="65">+F257+F258+F259+F260+F261+F262+F263+F264+F265+F266+F267+F268+F269+F270+F271+F272+F273</f>
        <v>0</v>
      </c>
      <c r="G256" s="159">
        <f t="shared" si="65"/>
        <v>0</v>
      </c>
      <c r="H256" s="159">
        <f t="shared" si="65"/>
        <v>170224.30000000002</v>
      </c>
      <c r="I256" s="160"/>
    </row>
    <row r="257" spans="1:9" s="161" customFormat="1">
      <c r="A257" s="202"/>
      <c r="B257" s="202"/>
      <c r="C257" s="162" t="s">
        <v>345</v>
      </c>
      <c r="D257" s="163">
        <f>+E257+F257+G257+H257</f>
        <v>-50000</v>
      </c>
      <c r="E257" s="159"/>
      <c r="F257" s="159"/>
      <c r="G257" s="159"/>
      <c r="H257" s="164">
        <v>-50000</v>
      </c>
      <c r="I257" s="160"/>
    </row>
    <row r="258" spans="1:9" s="161" customFormat="1" ht="33">
      <c r="A258" s="203"/>
      <c r="B258" s="203"/>
      <c r="C258" s="162" t="s">
        <v>346</v>
      </c>
      <c r="D258" s="163">
        <f t="shared" ref="D258:D265" si="66">+E258+F258+G258+H258</f>
        <v>42202.6</v>
      </c>
      <c r="E258" s="159"/>
      <c r="F258" s="159"/>
      <c r="G258" s="159"/>
      <c r="H258" s="164">
        <f>26703+350+15149.6</f>
        <v>42202.6</v>
      </c>
      <c r="I258" s="160"/>
    </row>
    <row r="259" spans="1:9" s="161" customFormat="1">
      <c r="A259" s="203"/>
      <c r="B259" s="203"/>
      <c r="C259" s="162" t="s">
        <v>347</v>
      </c>
      <c r="D259" s="163">
        <f t="shared" si="66"/>
        <v>21447.599999999999</v>
      </c>
      <c r="E259" s="159"/>
      <c r="F259" s="159"/>
      <c r="G259" s="159"/>
      <c r="H259" s="164">
        <f>6088+350+15009.6</f>
        <v>21447.599999999999</v>
      </c>
      <c r="I259" s="160"/>
    </row>
    <row r="260" spans="1:9" s="165" customFormat="1" ht="33">
      <c r="A260" s="203"/>
      <c r="B260" s="203"/>
      <c r="C260" s="162" t="s">
        <v>348</v>
      </c>
      <c r="D260" s="163">
        <f t="shared" si="66"/>
        <v>29436.400000000001</v>
      </c>
      <c r="E260" s="164"/>
      <c r="F260" s="164"/>
      <c r="G260" s="164"/>
      <c r="H260" s="164">
        <f>350+13936.8+15149.6</f>
        <v>29436.400000000001</v>
      </c>
    </row>
    <row r="261" spans="1:9" s="165" customFormat="1">
      <c r="A261" s="203"/>
      <c r="B261" s="203"/>
      <c r="C261" s="162" t="s">
        <v>349</v>
      </c>
      <c r="D261" s="163">
        <f t="shared" si="66"/>
        <v>28625</v>
      </c>
      <c r="E261" s="164"/>
      <c r="F261" s="164"/>
      <c r="G261" s="164"/>
      <c r="H261" s="164">
        <f>350+13125.4+15149.6</f>
        <v>28625</v>
      </c>
    </row>
    <row r="262" spans="1:9" s="165" customFormat="1">
      <c r="A262" s="203"/>
      <c r="B262" s="203"/>
      <c r="C262" s="162" t="s">
        <v>350</v>
      </c>
      <c r="D262" s="163">
        <f t="shared" si="66"/>
        <v>15499.6</v>
      </c>
      <c r="E262" s="164"/>
      <c r="F262" s="164"/>
      <c r="G262" s="164"/>
      <c r="H262" s="164">
        <f>350+15149.6</f>
        <v>15499.6</v>
      </c>
    </row>
    <row r="263" spans="1:9" s="165" customFormat="1" ht="33">
      <c r="A263" s="203"/>
      <c r="B263" s="203"/>
      <c r="C263" s="162" t="s">
        <v>351</v>
      </c>
      <c r="D263" s="163">
        <f t="shared" si="66"/>
        <v>24539.4</v>
      </c>
      <c r="E263" s="164"/>
      <c r="F263" s="164"/>
      <c r="G263" s="164"/>
      <c r="H263" s="164">
        <f>350+9039.8+15149.6</f>
        <v>24539.4</v>
      </c>
    </row>
    <row r="264" spans="1:9" s="165" customFormat="1" ht="33">
      <c r="A264" s="203"/>
      <c r="B264" s="203"/>
      <c r="C264" s="162" t="s">
        <v>352</v>
      </c>
      <c r="D264" s="163">
        <f t="shared" si="66"/>
        <v>31461.7</v>
      </c>
      <c r="E264" s="164"/>
      <c r="F264" s="164"/>
      <c r="G264" s="164"/>
      <c r="H264" s="164">
        <f>350+15962.1+15149.6</f>
        <v>31461.7</v>
      </c>
    </row>
    <row r="265" spans="1:9" s="165" customFormat="1" ht="33">
      <c r="A265" s="203"/>
      <c r="B265" s="203"/>
      <c r="C265" s="162" t="s">
        <v>353</v>
      </c>
      <c r="D265" s="163">
        <f t="shared" si="66"/>
        <v>24212</v>
      </c>
      <c r="E265" s="164"/>
      <c r="F265" s="164"/>
      <c r="G265" s="164"/>
      <c r="H265" s="164">
        <f>350+8712.4+15149.6</f>
        <v>24212</v>
      </c>
    </row>
    <row r="266" spans="1:9" s="118" customFormat="1" ht="40.700000000000003" customHeight="1">
      <c r="A266" s="203"/>
      <c r="B266" s="203"/>
      <c r="C266" s="93" t="s">
        <v>354</v>
      </c>
      <c r="D266" s="98">
        <f t="shared" ref="D266:D273" si="67">SUM(E266:H266)</f>
        <v>350</v>
      </c>
      <c r="E266" s="99"/>
      <c r="F266" s="99"/>
      <c r="G266" s="99"/>
      <c r="H266" s="99">
        <v>350</v>
      </c>
    </row>
    <row r="267" spans="1:9" s="118" customFormat="1" ht="40.700000000000003" customHeight="1">
      <c r="A267" s="203"/>
      <c r="B267" s="203"/>
      <c r="C267" s="93" t="s">
        <v>355</v>
      </c>
      <c r="D267" s="98">
        <f t="shared" si="67"/>
        <v>350</v>
      </c>
      <c r="E267" s="99"/>
      <c r="F267" s="99"/>
      <c r="G267" s="99"/>
      <c r="H267" s="99">
        <v>350</v>
      </c>
    </row>
    <row r="268" spans="1:9" s="118" customFormat="1" ht="40.700000000000003" customHeight="1">
      <c r="A268" s="203"/>
      <c r="B268" s="203"/>
      <c r="C268" s="93" t="s">
        <v>356</v>
      </c>
      <c r="D268" s="98">
        <f t="shared" si="67"/>
        <v>350</v>
      </c>
      <c r="E268" s="99"/>
      <c r="F268" s="99"/>
      <c r="G268" s="99"/>
      <c r="H268" s="99">
        <v>350</v>
      </c>
    </row>
    <row r="269" spans="1:9" s="118" customFormat="1" ht="40.700000000000003" customHeight="1">
      <c r="A269" s="203"/>
      <c r="B269" s="203"/>
      <c r="C269" s="93" t="s">
        <v>357</v>
      </c>
      <c r="D269" s="98">
        <f t="shared" si="67"/>
        <v>350</v>
      </c>
      <c r="E269" s="99"/>
      <c r="F269" s="99"/>
      <c r="G269" s="99"/>
      <c r="H269" s="99">
        <v>350</v>
      </c>
    </row>
    <row r="270" spans="1:9" s="118" customFormat="1" ht="40.700000000000003" customHeight="1">
      <c r="A270" s="203"/>
      <c r="B270" s="203"/>
      <c r="C270" s="93" t="s">
        <v>358</v>
      </c>
      <c r="D270" s="98">
        <f t="shared" si="67"/>
        <v>350</v>
      </c>
      <c r="E270" s="99"/>
      <c r="F270" s="99"/>
      <c r="G270" s="99"/>
      <c r="H270" s="99">
        <v>350</v>
      </c>
    </row>
    <row r="271" spans="1:9" s="118" customFormat="1" ht="40.700000000000003" customHeight="1">
      <c r="A271" s="203"/>
      <c r="B271" s="203"/>
      <c r="C271" s="93" t="s">
        <v>359</v>
      </c>
      <c r="D271" s="98">
        <f t="shared" si="67"/>
        <v>350</v>
      </c>
      <c r="E271" s="99"/>
      <c r="F271" s="99"/>
      <c r="G271" s="99"/>
      <c r="H271" s="99">
        <v>350</v>
      </c>
    </row>
    <row r="272" spans="1:9" s="118" customFormat="1" ht="40.700000000000003" customHeight="1">
      <c r="A272" s="203"/>
      <c r="B272" s="203"/>
      <c r="C272" s="93" t="s">
        <v>360</v>
      </c>
      <c r="D272" s="98">
        <f t="shared" si="67"/>
        <v>350</v>
      </c>
      <c r="E272" s="99"/>
      <c r="F272" s="99"/>
      <c r="G272" s="99"/>
      <c r="H272" s="99">
        <v>350</v>
      </c>
    </row>
    <row r="273" spans="1:9" s="118" customFormat="1" ht="40.700000000000003" customHeight="1">
      <c r="A273" s="204"/>
      <c r="B273" s="204"/>
      <c r="C273" s="93" t="s">
        <v>361</v>
      </c>
      <c r="D273" s="98">
        <f t="shared" si="67"/>
        <v>350</v>
      </c>
      <c r="E273" s="99"/>
      <c r="F273" s="99"/>
      <c r="G273" s="99"/>
      <c r="H273" s="99">
        <v>350</v>
      </c>
    </row>
    <row r="274" spans="1:9" s="170" customFormat="1" ht="16.899999999999999" customHeight="1">
      <c r="A274" s="166"/>
      <c r="B274" s="166"/>
      <c r="C274" s="89" t="s">
        <v>252</v>
      </c>
      <c r="D274" s="167">
        <f>SUM(E274:H274)</f>
        <v>55396.4</v>
      </c>
      <c r="E274" s="168">
        <f>+E275+E276+E277+E278</f>
        <v>0</v>
      </c>
      <c r="F274" s="168">
        <f>+F275+F276+F277+F278</f>
        <v>0</v>
      </c>
      <c r="G274" s="168">
        <f>+G275+G276+G277+G278</f>
        <v>0</v>
      </c>
      <c r="H274" s="168">
        <f>+H275+H276+H277+H278</f>
        <v>55396.4</v>
      </c>
      <c r="I274" s="169"/>
    </row>
    <row r="275" spans="1:9" s="165" customFormat="1" ht="33">
      <c r="A275" s="205"/>
      <c r="B275" s="205"/>
      <c r="C275" s="162" t="s">
        <v>362</v>
      </c>
      <c r="D275" s="163">
        <f>+E275+F275+G275+H275</f>
        <v>24047.200000000001</v>
      </c>
      <c r="E275" s="164"/>
      <c r="F275" s="164"/>
      <c r="G275" s="164"/>
      <c r="H275" s="99">
        <f>350+8547.6+15149.6</f>
        <v>24047.200000000001</v>
      </c>
    </row>
    <row r="276" spans="1:9" s="118" customFormat="1">
      <c r="A276" s="206"/>
      <c r="B276" s="206"/>
      <c r="C276" s="93" t="s">
        <v>317</v>
      </c>
      <c r="D276" s="163">
        <f>+E276+F276+G276+H276</f>
        <v>15499.6</v>
      </c>
      <c r="E276" s="99"/>
      <c r="F276" s="99"/>
      <c r="G276" s="99"/>
      <c r="H276" s="99">
        <f>350+15149.6</f>
        <v>15499.6</v>
      </c>
    </row>
    <row r="277" spans="1:9" s="118" customFormat="1">
      <c r="A277" s="206"/>
      <c r="B277" s="206"/>
      <c r="C277" s="93" t="s">
        <v>316</v>
      </c>
      <c r="D277" s="163">
        <f>+E277+F277+G277+H277</f>
        <v>15499.6</v>
      </c>
      <c r="E277" s="99"/>
      <c r="F277" s="99"/>
      <c r="G277" s="99"/>
      <c r="H277" s="99">
        <f>350+15149.6</f>
        <v>15499.6</v>
      </c>
    </row>
    <row r="278" spans="1:9" s="118" customFormat="1">
      <c r="A278" s="207"/>
      <c r="B278" s="207"/>
      <c r="C278" s="93" t="s">
        <v>363</v>
      </c>
      <c r="D278" s="163">
        <f>+E278+F278+G278+H278</f>
        <v>350</v>
      </c>
      <c r="E278" s="99"/>
      <c r="F278" s="99"/>
      <c r="G278" s="99"/>
      <c r="H278" s="99">
        <v>350</v>
      </c>
    </row>
    <row r="279" spans="1:9" s="170" customFormat="1" ht="16.899999999999999" customHeight="1">
      <c r="A279" s="166"/>
      <c r="B279" s="166"/>
      <c r="C279" s="89" t="s">
        <v>228</v>
      </c>
      <c r="D279" s="167">
        <f>SUM(E279:H279)</f>
        <v>30999.200000000001</v>
      </c>
      <c r="E279" s="168">
        <f>SUM(E280:E281)</f>
        <v>0</v>
      </c>
      <c r="F279" s="168">
        <f>SUM(F280:F281)</f>
        <v>0</v>
      </c>
      <c r="G279" s="168">
        <f>SUM(G280:G281)</f>
        <v>0</v>
      </c>
      <c r="H279" s="168">
        <f>SUM(H280:H281)</f>
        <v>30999.200000000001</v>
      </c>
      <c r="I279" s="169"/>
    </row>
    <row r="280" spans="1:9" s="165" customFormat="1">
      <c r="A280" s="205"/>
      <c r="B280" s="205"/>
      <c r="C280" s="162" t="s">
        <v>364</v>
      </c>
      <c r="D280" s="163">
        <f>+E280+F280+G280+H280</f>
        <v>15499.6</v>
      </c>
      <c r="E280" s="164"/>
      <c r="F280" s="164"/>
      <c r="G280" s="164"/>
      <c r="H280" s="99">
        <f>350+15149.6</f>
        <v>15499.6</v>
      </c>
    </row>
    <row r="281" spans="1:9" s="165" customFormat="1">
      <c r="A281" s="207"/>
      <c r="B281" s="207"/>
      <c r="C281" s="162" t="s">
        <v>365</v>
      </c>
      <c r="D281" s="163">
        <f>+E281+F281+G281+H281</f>
        <v>15499.6</v>
      </c>
      <c r="E281" s="164"/>
      <c r="F281" s="164"/>
      <c r="G281" s="164"/>
      <c r="H281" s="99">
        <f>350+15149.6</f>
        <v>15499.6</v>
      </c>
    </row>
    <row r="282" spans="1:9" s="170" customFormat="1" ht="16.899999999999999" customHeight="1">
      <c r="A282" s="166"/>
      <c r="B282" s="166"/>
      <c r="C282" s="89" t="s">
        <v>230</v>
      </c>
      <c r="D282" s="167">
        <f>SUM(E282:H282)</f>
        <v>40733.5</v>
      </c>
      <c r="E282" s="168">
        <f>+E283+E284+E285+E286+E287+E288+E289+E290+E291+E292+E293</f>
        <v>0</v>
      </c>
      <c r="F282" s="168">
        <f>+F283+F284+F285+F286+F287+F288+F289+F290+F291+F292+F293</f>
        <v>0</v>
      </c>
      <c r="G282" s="168">
        <f>+G283+G284+G285+G286+G287+G288+G289+G290+G291+G292+G293</f>
        <v>0</v>
      </c>
      <c r="H282" s="168">
        <f>+H283+H284+H285+H286+H287+H288+H289+H290+H291+H292+H293</f>
        <v>40733.5</v>
      </c>
      <c r="I282" s="169"/>
    </row>
    <row r="283" spans="1:9" s="165" customFormat="1">
      <c r="A283" s="205"/>
      <c r="B283" s="205"/>
      <c r="C283" s="162" t="s">
        <v>366</v>
      </c>
      <c r="D283" s="163">
        <f>+E283+F283+G283+H283</f>
        <v>15499.6</v>
      </c>
      <c r="E283" s="164"/>
      <c r="F283" s="164"/>
      <c r="G283" s="164"/>
      <c r="H283" s="99">
        <f>350+15149.6</f>
        <v>15499.6</v>
      </c>
    </row>
    <row r="284" spans="1:9" s="165" customFormat="1" ht="33">
      <c r="A284" s="206"/>
      <c r="B284" s="206"/>
      <c r="C284" s="162" t="s">
        <v>367</v>
      </c>
      <c r="D284" s="163">
        <f>+E284+F284+G284+H284</f>
        <v>22083.9</v>
      </c>
      <c r="E284" s="164"/>
      <c r="F284" s="164"/>
      <c r="G284" s="164"/>
      <c r="H284" s="99">
        <f>350+6584.3+15149.6</f>
        <v>22083.9</v>
      </c>
    </row>
    <row r="285" spans="1:9" s="118" customFormat="1" ht="30" customHeight="1">
      <c r="A285" s="206"/>
      <c r="B285" s="206"/>
      <c r="C285" s="93" t="s">
        <v>368</v>
      </c>
      <c r="D285" s="98">
        <f t="shared" ref="D285:D293" si="68">SUM(E285:H285)</f>
        <v>350</v>
      </c>
      <c r="E285" s="99"/>
      <c r="F285" s="99"/>
      <c r="G285" s="99"/>
      <c r="H285" s="99">
        <v>350</v>
      </c>
    </row>
    <row r="286" spans="1:9" s="118" customFormat="1" ht="42.75" customHeight="1">
      <c r="A286" s="206"/>
      <c r="B286" s="206"/>
      <c r="C286" s="93" t="s">
        <v>369</v>
      </c>
      <c r="D286" s="98">
        <f t="shared" si="68"/>
        <v>350</v>
      </c>
      <c r="E286" s="99"/>
      <c r="F286" s="99"/>
      <c r="G286" s="99"/>
      <c r="H286" s="99">
        <v>350</v>
      </c>
    </row>
    <row r="287" spans="1:9" s="118" customFormat="1" ht="41.25" customHeight="1">
      <c r="A287" s="206"/>
      <c r="B287" s="206"/>
      <c r="C287" s="93" t="s">
        <v>370</v>
      </c>
      <c r="D287" s="98">
        <f t="shared" si="68"/>
        <v>350</v>
      </c>
      <c r="E287" s="99"/>
      <c r="F287" s="99"/>
      <c r="G287" s="99"/>
      <c r="H287" s="99">
        <v>350</v>
      </c>
    </row>
    <row r="288" spans="1:9" s="118" customFormat="1" ht="44.25" customHeight="1">
      <c r="A288" s="206"/>
      <c r="B288" s="206"/>
      <c r="C288" s="93" t="s">
        <v>371</v>
      </c>
      <c r="D288" s="98">
        <f t="shared" si="68"/>
        <v>350</v>
      </c>
      <c r="E288" s="99"/>
      <c r="F288" s="99"/>
      <c r="G288" s="99"/>
      <c r="H288" s="99">
        <v>350</v>
      </c>
    </row>
    <row r="289" spans="1:9" s="118" customFormat="1" ht="27.75" customHeight="1">
      <c r="A289" s="206"/>
      <c r="B289" s="206"/>
      <c r="C289" s="93" t="s">
        <v>372</v>
      </c>
      <c r="D289" s="98">
        <f t="shared" si="68"/>
        <v>350</v>
      </c>
      <c r="E289" s="99"/>
      <c r="F289" s="99"/>
      <c r="G289" s="99"/>
      <c r="H289" s="99">
        <v>350</v>
      </c>
    </row>
    <row r="290" spans="1:9" s="118" customFormat="1" ht="34.5" customHeight="1">
      <c r="A290" s="206"/>
      <c r="B290" s="206"/>
      <c r="C290" s="93" t="s">
        <v>373</v>
      </c>
      <c r="D290" s="98">
        <f t="shared" si="68"/>
        <v>350</v>
      </c>
      <c r="E290" s="99"/>
      <c r="F290" s="99"/>
      <c r="G290" s="99"/>
      <c r="H290" s="99">
        <v>350</v>
      </c>
    </row>
    <row r="291" spans="1:9" s="118" customFormat="1" ht="45" customHeight="1">
      <c r="A291" s="206"/>
      <c r="B291" s="206"/>
      <c r="C291" s="93" t="s">
        <v>374</v>
      </c>
      <c r="D291" s="98">
        <f t="shared" si="68"/>
        <v>350</v>
      </c>
      <c r="E291" s="99"/>
      <c r="F291" s="99"/>
      <c r="G291" s="99"/>
      <c r="H291" s="99">
        <v>350</v>
      </c>
    </row>
    <row r="292" spans="1:9" s="118" customFormat="1" ht="46.5" customHeight="1">
      <c r="A292" s="206"/>
      <c r="B292" s="206"/>
      <c r="C292" s="93" t="s">
        <v>375</v>
      </c>
      <c r="D292" s="98">
        <f t="shared" si="68"/>
        <v>350</v>
      </c>
      <c r="E292" s="99"/>
      <c r="F292" s="99"/>
      <c r="G292" s="99"/>
      <c r="H292" s="99">
        <v>350</v>
      </c>
    </row>
    <row r="293" spans="1:9" s="118" customFormat="1" ht="47.25" customHeight="1">
      <c r="A293" s="207"/>
      <c r="B293" s="207"/>
      <c r="C293" s="93" t="s">
        <v>376</v>
      </c>
      <c r="D293" s="98">
        <f t="shared" si="68"/>
        <v>350</v>
      </c>
      <c r="E293" s="99"/>
      <c r="F293" s="99"/>
      <c r="G293" s="99"/>
      <c r="H293" s="99">
        <v>350</v>
      </c>
    </row>
    <row r="294" spans="1:9" s="113" customFormat="1">
      <c r="A294" s="120"/>
      <c r="B294" s="120"/>
      <c r="C294" s="89" t="s">
        <v>255</v>
      </c>
      <c r="D294" s="116">
        <f>SUM(E294:H294)</f>
        <v>70991.199999999997</v>
      </c>
      <c r="E294" s="117">
        <f>++E295+E296+E297+E298+E299</f>
        <v>0</v>
      </c>
      <c r="F294" s="117">
        <f t="shared" ref="F294:H294" si="69">++F295+F296+F297+F298+F299</f>
        <v>0</v>
      </c>
      <c r="G294" s="117">
        <f t="shared" si="69"/>
        <v>0</v>
      </c>
      <c r="H294" s="117">
        <f t="shared" si="69"/>
        <v>70991.199999999997</v>
      </c>
    </row>
    <row r="295" spans="1:9" s="161" customFormat="1">
      <c r="A295" s="201"/>
      <c r="B295" s="201"/>
      <c r="C295" s="162" t="s">
        <v>377</v>
      </c>
      <c r="D295" s="163">
        <f>+E295+F295+G295+H295</f>
        <v>28671.599999999999</v>
      </c>
      <c r="E295" s="159"/>
      <c r="F295" s="159"/>
      <c r="G295" s="159"/>
      <c r="H295" s="164">
        <f>13172+350+15149.6</f>
        <v>28671.599999999999</v>
      </c>
      <c r="I295" s="160"/>
    </row>
    <row r="296" spans="1:9" s="161" customFormat="1" ht="33">
      <c r="A296" s="201"/>
      <c r="B296" s="201"/>
      <c r="C296" s="162" t="s">
        <v>378</v>
      </c>
      <c r="D296" s="163">
        <f>+E296+F296+G296+H296</f>
        <v>41269.599999999999</v>
      </c>
      <c r="E296" s="159"/>
      <c r="F296" s="159"/>
      <c r="G296" s="159"/>
      <c r="H296" s="164">
        <f>25770+350+15149.6</f>
        <v>41269.599999999999</v>
      </c>
      <c r="I296" s="160"/>
    </row>
    <row r="297" spans="1:9" s="118" customFormat="1" ht="33">
      <c r="A297" s="201"/>
      <c r="B297" s="201"/>
      <c r="C297" s="93" t="s">
        <v>379</v>
      </c>
      <c r="D297" s="98">
        <f>SUM(E297:H297)</f>
        <v>350</v>
      </c>
      <c r="E297" s="99"/>
      <c r="F297" s="99"/>
      <c r="G297" s="99"/>
      <c r="H297" s="99">
        <v>350</v>
      </c>
    </row>
    <row r="298" spans="1:9" s="118" customFormat="1">
      <c r="A298" s="201"/>
      <c r="B298" s="201"/>
      <c r="C298" s="93" t="s">
        <v>380</v>
      </c>
      <c r="D298" s="98">
        <f>SUM(E298:H298)</f>
        <v>350</v>
      </c>
      <c r="E298" s="99"/>
      <c r="F298" s="99"/>
      <c r="G298" s="99"/>
      <c r="H298" s="99">
        <v>350</v>
      </c>
    </row>
    <row r="299" spans="1:9" s="118" customFormat="1" ht="33">
      <c r="A299" s="196"/>
      <c r="B299" s="196"/>
      <c r="C299" s="93" t="s">
        <v>381</v>
      </c>
      <c r="D299" s="98">
        <f>SUM(E299:H299)</f>
        <v>350</v>
      </c>
      <c r="E299" s="99"/>
      <c r="F299" s="99"/>
      <c r="G299" s="99"/>
      <c r="H299" s="99">
        <v>350</v>
      </c>
    </row>
    <row r="300" spans="1:9" s="170" customFormat="1" ht="16.899999999999999" customHeight="1">
      <c r="A300" s="166"/>
      <c r="B300" s="166"/>
      <c r="C300" s="89" t="s">
        <v>236</v>
      </c>
      <c r="D300" s="167">
        <f>SUM(E300:H300)</f>
        <v>86824.8</v>
      </c>
      <c r="E300" s="168">
        <f>+E301+E302+E303+E304+E305+E306+E307+E308+E309+E310</f>
        <v>0</v>
      </c>
      <c r="F300" s="168">
        <f>+F301+F302+F303+F304+F305+F306+F307+F308+F309+F310</f>
        <v>0</v>
      </c>
      <c r="G300" s="168">
        <f>+G301+G302+G303+G304+G305+G306+G307+G308+G309+G310</f>
        <v>0</v>
      </c>
      <c r="H300" s="168">
        <f>+H301+H302+H303+H304+H305+H306+H307+H308+H309+H310</f>
        <v>86824.8</v>
      </c>
      <c r="I300" s="169"/>
    </row>
    <row r="301" spans="1:9" s="165" customFormat="1" ht="33">
      <c r="A301" s="208"/>
      <c r="B301" s="205"/>
      <c r="C301" s="162" t="s">
        <v>382</v>
      </c>
      <c r="D301" s="163">
        <f>+E301+F301+G301+H301</f>
        <v>53375.6</v>
      </c>
      <c r="E301" s="164"/>
      <c r="F301" s="164"/>
      <c r="G301" s="164"/>
      <c r="H301" s="164">
        <f>37876+350+15149.6</f>
        <v>53375.6</v>
      </c>
    </row>
    <row r="302" spans="1:9" s="165" customFormat="1">
      <c r="A302" s="208"/>
      <c r="B302" s="206"/>
      <c r="C302" s="162" t="s">
        <v>383</v>
      </c>
      <c r="D302" s="163">
        <f>+E302+F302+G302+H302</f>
        <v>15499.6</v>
      </c>
      <c r="E302" s="164"/>
      <c r="F302" s="164"/>
      <c r="G302" s="164"/>
      <c r="H302" s="99">
        <f>350+15149.6</f>
        <v>15499.6</v>
      </c>
    </row>
    <row r="303" spans="1:9" s="118" customFormat="1">
      <c r="A303" s="208"/>
      <c r="B303" s="206"/>
      <c r="C303" s="93" t="s">
        <v>384</v>
      </c>
      <c r="D303" s="98">
        <f t="shared" ref="D303:D310" si="70">SUM(E303:H303)</f>
        <v>15499.6</v>
      </c>
      <c r="E303" s="99"/>
      <c r="F303" s="99"/>
      <c r="G303" s="99"/>
      <c r="H303" s="99">
        <f>350+15149.6</f>
        <v>15499.6</v>
      </c>
    </row>
    <row r="304" spans="1:9" s="118" customFormat="1" ht="33">
      <c r="A304" s="208"/>
      <c r="B304" s="206"/>
      <c r="C304" s="93" t="s">
        <v>385</v>
      </c>
      <c r="D304" s="98">
        <f t="shared" si="70"/>
        <v>350</v>
      </c>
      <c r="E304" s="99"/>
      <c r="F304" s="99"/>
      <c r="G304" s="99"/>
      <c r="H304" s="99">
        <v>350</v>
      </c>
    </row>
    <row r="305" spans="1:9" s="118" customFormat="1" ht="33">
      <c r="A305" s="208"/>
      <c r="B305" s="206"/>
      <c r="C305" s="93" t="s">
        <v>386</v>
      </c>
      <c r="D305" s="98">
        <f t="shared" si="70"/>
        <v>350</v>
      </c>
      <c r="E305" s="99"/>
      <c r="F305" s="99"/>
      <c r="G305" s="99"/>
      <c r="H305" s="99">
        <v>350</v>
      </c>
    </row>
    <row r="306" spans="1:9" s="118" customFormat="1" ht="33">
      <c r="A306" s="208"/>
      <c r="B306" s="206"/>
      <c r="C306" s="93" t="s">
        <v>387</v>
      </c>
      <c r="D306" s="98">
        <f t="shared" si="70"/>
        <v>350</v>
      </c>
      <c r="E306" s="99"/>
      <c r="F306" s="99"/>
      <c r="G306" s="99"/>
      <c r="H306" s="99">
        <v>350</v>
      </c>
    </row>
    <row r="307" spans="1:9" s="118" customFormat="1">
      <c r="A307" s="208"/>
      <c r="B307" s="206"/>
      <c r="C307" s="93" t="s">
        <v>388</v>
      </c>
      <c r="D307" s="98">
        <f t="shared" si="70"/>
        <v>350</v>
      </c>
      <c r="E307" s="99"/>
      <c r="F307" s="99"/>
      <c r="G307" s="99"/>
      <c r="H307" s="99">
        <v>350</v>
      </c>
    </row>
    <row r="308" spans="1:9" s="118" customFormat="1">
      <c r="A308" s="208"/>
      <c r="B308" s="206"/>
      <c r="C308" s="93" t="s">
        <v>389</v>
      </c>
      <c r="D308" s="98">
        <f t="shared" si="70"/>
        <v>350</v>
      </c>
      <c r="E308" s="99"/>
      <c r="F308" s="99"/>
      <c r="G308" s="99"/>
      <c r="H308" s="99">
        <v>350</v>
      </c>
    </row>
    <row r="309" spans="1:9" s="118" customFormat="1">
      <c r="A309" s="208"/>
      <c r="B309" s="206"/>
      <c r="C309" s="93" t="s">
        <v>390</v>
      </c>
      <c r="D309" s="98">
        <f t="shared" si="70"/>
        <v>350</v>
      </c>
      <c r="E309" s="99"/>
      <c r="F309" s="99"/>
      <c r="G309" s="99"/>
      <c r="H309" s="99">
        <v>350</v>
      </c>
    </row>
    <row r="310" spans="1:9" s="118" customFormat="1" ht="33">
      <c r="A310" s="208"/>
      <c r="B310" s="207"/>
      <c r="C310" s="93" t="s">
        <v>293</v>
      </c>
      <c r="D310" s="98">
        <f t="shared" si="70"/>
        <v>350</v>
      </c>
      <c r="E310" s="99"/>
      <c r="F310" s="99"/>
      <c r="G310" s="99"/>
      <c r="H310" s="99">
        <v>350</v>
      </c>
    </row>
    <row r="311" spans="1:9" s="170" customFormat="1" ht="16.899999999999999" customHeight="1">
      <c r="A311" s="171"/>
      <c r="B311" s="171"/>
      <c r="C311" s="89" t="s">
        <v>232</v>
      </c>
      <c r="D311" s="167">
        <f>SUM(E311:H311)</f>
        <v>30999.200000000001</v>
      </c>
      <c r="E311" s="168">
        <f>SUM(E312:E313)</f>
        <v>0</v>
      </c>
      <c r="F311" s="168">
        <f>SUM(F312:F313)</f>
        <v>0</v>
      </c>
      <c r="G311" s="168">
        <f>SUM(G312:G313)</f>
        <v>0</v>
      </c>
      <c r="H311" s="168">
        <f>SUM(H312:H313)</f>
        <v>30999.200000000001</v>
      </c>
      <c r="I311" s="169"/>
    </row>
    <row r="312" spans="1:9" s="165" customFormat="1">
      <c r="A312" s="208"/>
      <c r="B312" s="208"/>
      <c r="C312" s="162" t="s">
        <v>391</v>
      </c>
      <c r="D312" s="163">
        <f>+E312+F312+G312+H312</f>
        <v>15499.6</v>
      </c>
      <c r="E312" s="164"/>
      <c r="F312" s="164"/>
      <c r="G312" s="164"/>
      <c r="H312" s="99">
        <f>350+15149.6</f>
        <v>15499.6</v>
      </c>
    </row>
    <row r="313" spans="1:9" s="165" customFormat="1">
      <c r="A313" s="208"/>
      <c r="B313" s="208"/>
      <c r="C313" s="162" t="s">
        <v>392</v>
      </c>
      <c r="D313" s="163">
        <f>+E313+F313+G313+H313</f>
        <v>15499.6</v>
      </c>
      <c r="E313" s="164"/>
      <c r="F313" s="164"/>
      <c r="G313" s="164"/>
      <c r="H313" s="99">
        <f>350+15149.6</f>
        <v>15499.6</v>
      </c>
    </row>
    <row r="314" spans="1:9" s="118" customFormat="1">
      <c r="A314" s="150"/>
      <c r="B314" s="150"/>
      <c r="C314" s="89" t="s">
        <v>234</v>
      </c>
      <c r="D314" s="102">
        <f>SUM(E314:H314)</f>
        <v>98670.5</v>
      </c>
      <c r="E314" s="121">
        <f>+E315+E316+E317+E318+E319</f>
        <v>0</v>
      </c>
      <c r="F314" s="121">
        <f t="shared" ref="F314:H314" si="71">+F315+F316+F317+F318+F319</f>
        <v>0</v>
      </c>
      <c r="G314" s="121">
        <f t="shared" si="71"/>
        <v>0</v>
      </c>
      <c r="H314" s="121">
        <f t="shared" si="71"/>
        <v>98670.5</v>
      </c>
    </row>
    <row r="315" spans="1:9" s="118" customFormat="1">
      <c r="A315" s="201"/>
      <c r="B315" s="201"/>
      <c r="C315" s="93" t="s">
        <v>393</v>
      </c>
      <c r="D315" s="98">
        <f>SUM(E315:H315)</f>
        <v>15499.6</v>
      </c>
      <c r="E315" s="99"/>
      <c r="F315" s="99"/>
      <c r="G315" s="99"/>
      <c r="H315" s="99">
        <f>350+15149.6</f>
        <v>15499.6</v>
      </c>
    </row>
    <row r="316" spans="1:9" s="118" customFormat="1">
      <c r="A316" s="201"/>
      <c r="B316" s="201"/>
      <c r="C316" s="93" t="s">
        <v>394</v>
      </c>
      <c r="D316" s="98">
        <f>SUM(E316:H316)</f>
        <v>350</v>
      </c>
      <c r="E316" s="99"/>
      <c r="F316" s="99"/>
      <c r="G316" s="99"/>
      <c r="H316" s="99">
        <f>11650+350-11650</f>
        <v>350</v>
      </c>
    </row>
    <row r="317" spans="1:9" s="165" customFormat="1">
      <c r="A317" s="201"/>
      <c r="B317" s="201"/>
      <c r="C317" s="162" t="s">
        <v>395</v>
      </c>
      <c r="D317" s="163">
        <f>+E317+F317+G317+H317</f>
        <v>28868.400000000001</v>
      </c>
      <c r="E317" s="164"/>
      <c r="F317" s="164"/>
      <c r="G317" s="164"/>
      <c r="H317" s="164">
        <f>13868.8+350+14649.6</f>
        <v>28868.400000000001</v>
      </c>
    </row>
    <row r="318" spans="1:9" s="165" customFormat="1">
      <c r="A318" s="201"/>
      <c r="B318" s="201"/>
      <c r="C318" s="162" t="s">
        <v>396</v>
      </c>
      <c r="D318" s="163">
        <f>+E318+F318+G318+H318</f>
        <v>23450.6</v>
      </c>
      <c r="E318" s="164"/>
      <c r="F318" s="164"/>
      <c r="G318" s="164"/>
      <c r="H318" s="164">
        <f>7951+350+15149.6</f>
        <v>23450.6</v>
      </c>
    </row>
    <row r="319" spans="1:9" s="165" customFormat="1">
      <c r="A319" s="196"/>
      <c r="B319" s="196"/>
      <c r="C319" s="162" t="s">
        <v>397</v>
      </c>
      <c r="D319" s="163">
        <f>+E319+F319+G319+H319</f>
        <v>30501.9</v>
      </c>
      <c r="E319" s="164"/>
      <c r="F319" s="164"/>
      <c r="G319" s="164"/>
      <c r="H319" s="164">
        <f>15002.3+350+15149.6</f>
        <v>30501.9</v>
      </c>
    </row>
    <row r="320" spans="1:9" s="113" customFormat="1">
      <c r="A320" s="120"/>
      <c r="B320" s="120"/>
      <c r="C320" s="89" t="s">
        <v>257</v>
      </c>
      <c r="D320" s="116">
        <f>SUM(E320:H320)</f>
        <v>100478.2</v>
      </c>
      <c r="E320" s="117">
        <f>E321+E322+E323</f>
        <v>0</v>
      </c>
      <c r="F320" s="117">
        <f t="shared" ref="F320:H320" si="72">F321+F322+F323</f>
        <v>0</v>
      </c>
      <c r="G320" s="117">
        <f t="shared" si="72"/>
        <v>0</v>
      </c>
      <c r="H320" s="117">
        <f t="shared" si="72"/>
        <v>100478.2</v>
      </c>
    </row>
    <row r="321" spans="1:9" s="118" customFormat="1">
      <c r="A321" s="201"/>
      <c r="B321" s="201"/>
      <c r="C321" s="93" t="s">
        <v>398</v>
      </c>
      <c r="D321" s="98">
        <f>SUM(E321:H321)</f>
        <v>15499.6</v>
      </c>
      <c r="E321" s="99"/>
      <c r="F321" s="99"/>
      <c r="G321" s="99"/>
      <c r="H321" s="99">
        <f>350+15149.6</f>
        <v>15499.6</v>
      </c>
    </row>
    <row r="322" spans="1:9" s="118" customFormat="1">
      <c r="A322" s="201"/>
      <c r="B322" s="201"/>
      <c r="C322" s="93" t="s">
        <v>399</v>
      </c>
      <c r="D322" s="98">
        <f>SUM(E322:H322)</f>
        <v>15499.6</v>
      </c>
      <c r="E322" s="99"/>
      <c r="F322" s="99"/>
      <c r="G322" s="99"/>
      <c r="H322" s="99">
        <f>350+15149.6</f>
        <v>15499.6</v>
      </c>
    </row>
    <row r="323" spans="1:9" s="165" customFormat="1">
      <c r="A323" s="196"/>
      <c r="B323" s="196"/>
      <c r="C323" s="162" t="s">
        <v>400</v>
      </c>
      <c r="D323" s="163">
        <f>+E323+F323+G323+H323</f>
        <v>69479</v>
      </c>
      <c r="E323" s="164"/>
      <c r="F323" s="164"/>
      <c r="G323" s="164"/>
      <c r="H323" s="164">
        <f>54282+350+14847</f>
        <v>69479</v>
      </c>
    </row>
    <row r="324" spans="1:9" s="170" customFormat="1" ht="16.899999999999999" customHeight="1">
      <c r="A324" s="166"/>
      <c r="B324" s="166"/>
      <c r="C324" s="89" t="s">
        <v>259</v>
      </c>
      <c r="D324" s="167">
        <f>SUM(E324:H324)</f>
        <v>95153.400000000009</v>
      </c>
      <c r="E324" s="168">
        <f>+E325+E326+E327+E328+E329</f>
        <v>0</v>
      </c>
      <c r="F324" s="168">
        <f>+F325+F326+F327+F328+F329</f>
        <v>0</v>
      </c>
      <c r="G324" s="168">
        <f>+G325+G326+G327+G328+G329</f>
        <v>0</v>
      </c>
      <c r="H324" s="168">
        <f>+H325+H326+H327+H328+H329</f>
        <v>95153.400000000009</v>
      </c>
      <c r="I324" s="169"/>
    </row>
    <row r="325" spans="1:9" s="165" customFormat="1">
      <c r="A325" s="205"/>
      <c r="B325" s="205"/>
      <c r="C325" s="162" t="s">
        <v>401</v>
      </c>
      <c r="D325" s="163">
        <f>+E325+F325+G325+H325</f>
        <v>48304.6</v>
      </c>
      <c r="E325" s="164"/>
      <c r="F325" s="164"/>
      <c r="G325" s="164"/>
      <c r="H325" s="164">
        <f>32805+350+15149.6</f>
        <v>48304.6</v>
      </c>
    </row>
    <row r="326" spans="1:9" s="165" customFormat="1">
      <c r="A326" s="206"/>
      <c r="B326" s="206"/>
      <c r="C326" s="162" t="s">
        <v>402</v>
      </c>
      <c r="D326" s="163">
        <f>+E326+F326+G326+H326</f>
        <v>15499.6</v>
      </c>
      <c r="E326" s="164"/>
      <c r="F326" s="164"/>
      <c r="G326" s="164"/>
      <c r="H326" s="99">
        <f>350+15149.6</f>
        <v>15499.6</v>
      </c>
    </row>
    <row r="327" spans="1:9" s="118" customFormat="1">
      <c r="A327" s="206"/>
      <c r="B327" s="206"/>
      <c r="C327" s="93" t="s">
        <v>336</v>
      </c>
      <c r="D327" s="98">
        <f t="shared" ref="D327:D332" si="73">SUM(E327:H327)</f>
        <v>15499.6</v>
      </c>
      <c r="E327" s="99"/>
      <c r="F327" s="99"/>
      <c r="G327" s="99"/>
      <c r="H327" s="99">
        <f>350+15149.6</f>
        <v>15499.6</v>
      </c>
    </row>
    <row r="328" spans="1:9" s="118" customFormat="1">
      <c r="A328" s="206"/>
      <c r="B328" s="206"/>
      <c r="C328" s="93" t="s">
        <v>335</v>
      </c>
      <c r="D328" s="98">
        <f t="shared" si="73"/>
        <v>15499.6</v>
      </c>
      <c r="E328" s="99"/>
      <c r="F328" s="99"/>
      <c r="G328" s="99"/>
      <c r="H328" s="99">
        <f>350+15149.6</f>
        <v>15499.6</v>
      </c>
    </row>
    <row r="329" spans="1:9" s="118" customFormat="1">
      <c r="A329" s="207"/>
      <c r="B329" s="207"/>
      <c r="C329" s="93" t="s">
        <v>403</v>
      </c>
      <c r="D329" s="98">
        <f t="shared" si="73"/>
        <v>350</v>
      </c>
      <c r="E329" s="99"/>
      <c r="F329" s="99"/>
      <c r="G329" s="99"/>
      <c r="H329" s="99">
        <v>350</v>
      </c>
    </row>
    <row r="330" spans="1:9" s="113" customFormat="1">
      <c r="A330" s="120"/>
      <c r="B330" s="120"/>
      <c r="C330" s="89" t="s">
        <v>247</v>
      </c>
      <c r="D330" s="116">
        <f t="shared" si="73"/>
        <v>-34500.400000000001</v>
      </c>
      <c r="E330" s="117">
        <f>+E331+E332</f>
        <v>0</v>
      </c>
      <c r="F330" s="117">
        <f t="shared" ref="F330:H330" si="74">+F331+F332</f>
        <v>0</v>
      </c>
      <c r="G330" s="117">
        <f t="shared" si="74"/>
        <v>0</v>
      </c>
      <c r="H330" s="117">
        <f t="shared" si="74"/>
        <v>-34500.400000000001</v>
      </c>
    </row>
    <row r="331" spans="1:9" s="118" customFormat="1">
      <c r="A331" s="195"/>
      <c r="B331" s="195"/>
      <c r="C331" s="93" t="s">
        <v>404</v>
      </c>
      <c r="D331" s="98">
        <f t="shared" ref="D331" si="75">SUM(E331:H331)</f>
        <v>-50000</v>
      </c>
      <c r="E331" s="99"/>
      <c r="F331" s="99"/>
      <c r="G331" s="99"/>
      <c r="H331" s="99">
        <v>-50000</v>
      </c>
    </row>
    <row r="332" spans="1:9" s="118" customFormat="1">
      <c r="A332" s="196"/>
      <c r="B332" s="196"/>
      <c r="C332" s="93" t="s">
        <v>405</v>
      </c>
      <c r="D332" s="98">
        <f t="shared" si="73"/>
        <v>15499.6</v>
      </c>
      <c r="E332" s="99"/>
      <c r="F332" s="99"/>
      <c r="G332" s="99"/>
      <c r="H332" s="99">
        <f>350+15149.6</f>
        <v>15499.6</v>
      </c>
    </row>
    <row r="333" spans="1:9">
      <c r="A333" s="29"/>
      <c r="B333" s="29"/>
      <c r="C333" s="56" t="s">
        <v>15</v>
      </c>
      <c r="D333" s="116">
        <f t="shared" ref="D333" si="76">SUM(E333:H333)</f>
        <v>-128000</v>
      </c>
      <c r="E333" s="117">
        <f>+E334+E335</f>
        <v>-128000</v>
      </c>
      <c r="F333" s="117">
        <f t="shared" ref="F333:H333" si="77">+F334+F335</f>
        <v>0</v>
      </c>
      <c r="G333" s="117">
        <f t="shared" si="77"/>
        <v>0</v>
      </c>
      <c r="H333" s="117">
        <f t="shared" si="77"/>
        <v>0</v>
      </c>
    </row>
    <row r="334" spans="1:9">
      <c r="A334" s="181"/>
      <c r="B334" s="181"/>
      <c r="C334" s="29" t="s">
        <v>426</v>
      </c>
      <c r="D334" s="98"/>
      <c r="E334" s="99"/>
      <c r="F334" s="99"/>
      <c r="G334" s="99"/>
      <c r="H334" s="99"/>
    </row>
    <row r="335" spans="1:9">
      <c r="A335" s="181" t="s">
        <v>16</v>
      </c>
      <c r="B335" s="181" t="s">
        <v>14</v>
      </c>
      <c r="C335" s="29" t="s">
        <v>17</v>
      </c>
      <c r="D335" s="98">
        <f>+E335</f>
        <v>-128000</v>
      </c>
      <c r="E335" s="99">
        <v>-128000</v>
      </c>
      <c r="F335" s="99"/>
      <c r="G335" s="99"/>
      <c r="H335" s="99"/>
    </row>
  </sheetData>
  <mergeCells count="54">
    <mergeCell ref="A321:A323"/>
    <mergeCell ref="B321:B323"/>
    <mergeCell ref="A325:A329"/>
    <mergeCell ref="B325:B329"/>
    <mergeCell ref="A331:A332"/>
    <mergeCell ref="B331:B332"/>
    <mergeCell ref="A301:A310"/>
    <mergeCell ref="B301:B310"/>
    <mergeCell ref="A312:A313"/>
    <mergeCell ref="B312:B313"/>
    <mergeCell ref="A315:A319"/>
    <mergeCell ref="B315:B319"/>
    <mergeCell ref="A280:A281"/>
    <mergeCell ref="B280:B281"/>
    <mergeCell ref="A283:A293"/>
    <mergeCell ref="B283:B293"/>
    <mergeCell ref="A295:A299"/>
    <mergeCell ref="B295:B299"/>
    <mergeCell ref="A239:A240"/>
    <mergeCell ref="B239:B240"/>
    <mergeCell ref="A257:A273"/>
    <mergeCell ref="B257:B273"/>
    <mergeCell ref="A275:A278"/>
    <mergeCell ref="B275:B278"/>
    <mergeCell ref="A192:A193"/>
    <mergeCell ref="B192:B193"/>
    <mergeCell ref="A224:A226"/>
    <mergeCell ref="B224:B226"/>
    <mergeCell ref="A232:A237"/>
    <mergeCell ref="B232:B237"/>
    <mergeCell ref="A169:A173"/>
    <mergeCell ref="B169:B173"/>
    <mergeCell ref="A179:A183"/>
    <mergeCell ref="B179:B183"/>
    <mergeCell ref="A187:A190"/>
    <mergeCell ref="B187:B190"/>
    <mergeCell ref="A137:A138"/>
    <mergeCell ref="B137:B138"/>
    <mergeCell ref="A142:A143"/>
    <mergeCell ref="B142:B143"/>
    <mergeCell ref="A147:A148"/>
    <mergeCell ref="B147:B148"/>
    <mergeCell ref="A99:A101"/>
    <mergeCell ref="B99:B101"/>
    <mergeCell ref="A105:A106"/>
    <mergeCell ref="B105:B106"/>
    <mergeCell ref="A123:A126"/>
    <mergeCell ref="B123:B126"/>
    <mergeCell ref="A5:H5"/>
    <mergeCell ref="A7:B7"/>
    <mergeCell ref="A92:A93"/>
    <mergeCell ref="B92:B93"/>
    <mergeCell ref="A95:A97"/>
    <mergeCell ref="B95:B97"/>
  </mergeCells>
  <pageMargins left="0.2" right="0.2" top="0.25" bottom="0.25" header="0.17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13.1</vt:lpstr>
      <vt:lpstr>13.2</vt:lpstr>
      <vt:lpstr>13.3</vt:lpstr>
      <vt:lpstr>'13.2'!Print_Area</vt:lpstr>
      <vt:lpstr>'13.3'!Print_Area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Armine Vardanyan</dc:creator>
  <cp:lastModifiedBy>Artak Karapetyan</cp:lastModifiedBy>
  <cp:lastPrinted>2022-12-29T05:22:12Z</cp:lastPrinted>
  <dcterms:created xsi:type="dcterms:W3CDTF">2018-12-09T10:04:10Z</dcterms:created>
  <dcterms:modified xsi:type="dcterms:W3CDTF">2023-12-29T06:56:17Z</dcterms:modified>
</cp:coreProperties>
</file>